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8490" yWindow="780" windowWidth="18525" windowHeight="12570"/>
  </bookViews>
  <sheets>
    <sheet name="1" sheetId="5" r:id="rId1"/>
  </sheets>
  <definedNames>
    <definedName name="_xlnm.Print_Titles" localSheetId="0">'1'!$6:$7</definedName>
    <definedName name="_xlnm.Print_Area" localSheetId="0">'1'!$A$1:$U$366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2" i="5" l="1"/>
  <c r="M164" i="5"/>
  <c r="M196" i="5" l="1"/>
  <c r="M290" i="5" l="1"/>
  <c r="M292" i="5"/>
  <c r="F360" i="5"/>
  <c r="G360" i="5"/>
  <c r="H360" i="5"/>
  <c r="I360" i="5"/>
  <c r="J360" i="5"/>
  <c r="K360" i="5"/>
  <c r="L360" i="5"/>
  <c r="M360" i="5"/>
  <c r="N360" i="5"/>
  <c r="O360" i="5"/>
  <c r="E360" i="5"/>
  <c r="D361" i="5"/>
  <c r="D362" i="5"/>
  <c r="D363" i="5"/>
  <c r="D364" i="5"/>
  <c r="M30" i="5"/>
  <c r="F253" i="5"/>
  <c r="G253" i="5"/>
  <c r="H253" i="5"/>
  <c r="I253" i="5"/>
  <c r="J253" i="5"/>
  <c r="K253" i="5"/>
  <c r="L253" i="5"/>
  <c r="M253" i="5"/>
  <c r="N253" i="5"/>
  <c r="O253" i="5"/>
  <c r="E253" i="5"/>
  <c r="D254" i="5"/>
  <c r="D255" i="5"/>
  <c r="D256" i="5"/>
  <c r="D257" i="5"/>
  <c r="D360" i="5" l="1"/>
  <c r="D253" i="5"/>
  <c r="M45" i="5"/>
  <c r="M278" i="5" l="1"/>
  <c r="N262" i="5" l="1"/>
  <c r="O262" i="5"/>
  <c r="M262" i="5"/>
  <c r="O280" i="5" l="1"/>
  <c r="N280" i="5"/>
  <c r="M280" i="5"/>
  <c r="L280" i="5"/>
  <c r="K280" i="5"/>
  <c r="D280" i="5" s="1"/>
  <c r="D284" i="5"/>
  <c r="D283" i="5"/>
  <c r="D282" i="5"/>
  <c r="D281" i="5"/>
  <c r="J280" i="5"/>
  <c r="I280" i="5"/>
  <c r="H280" i="5"/>
  <c r="G280" i="5"/>
  <c r="F280" i="5"/>
  <c r="E280" i="5"/>
  <c r="M221" i="5" l="1"/>
  <c r="M308" i="5"/>
  <c r="M60" i="5" l="1"/>
  <c r="M313" i="5" l="1"/>
  <c r="N162" i="5" l="1"/>
  <c r="E26" i="5" l="1"/>
  <c r="E17" i="5" s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D26" i="5"/>
  <c r="D17" i="5" s="1"/>
  <c r="E23" i="5"/>
  <c r="F23" i="5"/>
  <c r="G23" i="5"/>
  <c r="H23" i="5"/>
  <c r="I23" i="5"/>
  <c r="J23" i="5"/>
  <c r="K23" i="5"/>
  <c r="L23" i="5"/>
  <c r="D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26" i="5" s="1"/>
  <c r="M17" i="5" s="1"/>
  <c r="M32" i="5"/>
  <c r="M23" i="5" s="1"/>
  <c r="M14" i="5" s="1"/>
  <c r="M267" i="5" l="1"/>
  <c r="O164" i="5" l="1"/>
  <c r="N164" i="5"/>
  <c r="O162" i="5" l="1"/>
  <c r="N60" i="5" l="1"/>
  <c r="L343" i="5" l="1"/>
  <c r="L313" i="5" l="1"/>
  <c r="L308" i="5"/>
  <c r="L303" i="5"/>
  <c r="L60" i="5" l="1"/>
  <c r="L45" i="5"/>
  <c r="L215" i="5" l="1"/>
  <c r="L216" i="5"/>
  <c r="L236" i="5" l="1"/>
  <c r="L231" i="5"/>
  <c r="L162" i="5" l="1"/>
  <c r="L164" i="5" l="1"/>
  <c r="O313" i="5" l="1"/>
  <c r="N313" i="5"/>
  <c r="O278" i="5" l="1"/>
  <c r="N267" i="5"/>
  <c r="O60" i="5" l="1"/>
  <c r="M50" i="5"/>
  <c r="M49" i="5"/>
  <c r="N49" i="5"/>
  <c r="N50" i="5"/>
  <c r="O45" i="5" l="1"/>
  <c r="N45" i="5"/>
  <c r="N278" i="5" l="1"/>
  <c r="N343" i="5"/>
  <c r="N342" i="5"/>
  <c r="M342" i="5"/>
  <c r="M343" i="5"/>
  <c r="M333" i="5"/>
  <c r="O323" i="5" l="1"/>
  <c r="O308" i="5"/>
  <c r="N308" i="5" l="1"/>
  <c r="O303" i="5"/>
  <c r="N303" i="5"/>
  <c r="M303" i="5"/>
  <c r="M293" i="5" s="1"/>
  <c r="M288" i="5" s="1"/>
  <c r="N241" i="5"/>
  <c r="M241" i="5"/>
  <c r="N236" i="5"/>
  <c r="M231" i="5"/>
  <c r="O221" i="5"/>
  <c r="N221" i="5"/>
  <c r="N216" i="5"/>
  <c r="O142" i="5" l="1"/>
  <c r="O33" i="5" s="1"/>
  <c r="O47" i="5"/>
  <c r="M291" i="5" l="1"/>
  <c r="N291" i="5"/>
  <c r="O291" i="5"/>
  <c r="N292" i="5"/>
  <c r="O292" i="5"/>
  <c r="N293" i="5"/>
  <c r="O293" i="5"/>
  <c r="L293" i="5"/>
  <c r="L291" i="5"/>
  <c r="D359" i="5" l="1"/>
  <c r="D358" i="5"/>
  <c r="D357" i="5"/>
  <c r="D356" i="5"/>
  <c r="O355" i="5"/>
  <c r="N355" i="5"/>
  <c r="M355" i="5"/>
  <c r="L355" i="5"/>
  <c r="K355" i="5"/>
  <c r="J355" i="5"/>
  <c r="I355" i="5"/>
  <c r="H355" i="5"/>
  <c r="G355" i="5"/>
  <c r="F355" i="5"/>
  <c r="E355" i="5"/>
  <c r="D355" i="5" l="1"/>
  <c r="N33" i="5"/>
  <c r="M236" i="5" l="1"/>
  <c r="L241" i="5" l="1"/>
  <c r="D252" i="5" l="1"/>
  <c r="D251" i="5"/>
  <c r="D250" i="5"/>
  <c r="D248" i="5" s="1"/>
  <c r="D249" i="5"/>
  <c r="O248" i="5"/>
  <c r="N248" i="5"/>
  <c r="M248" i="5"/>
  <c r="L248" i="5"/>
  <c r="K248" i="5"/>
  <c r="J248" i="5"/>
  <c r="I248" i="5"/>
  <c r="H248" i="5"/>
  <c r="G248" i="5"/>
  <c r="F248" i="5"/>
  <c r="E248" i="5"/>
  <c r="D247" i="5" l="1"/>
  <c r="D246" i="5"/>
  <c r="D245" i="5"/>
  <c r="D243" i="5" s="1"/>
  <c r="D244" i="5"/>
  <c r="O243" i="5"/>
  <c r="N243" i="5"/>
  <c r="M243" i="5"/>
  <c r="L243" i="5"/>
  <c r="K243" i="5"/>
  <c r="J243" i="5"/>
  <c r="I243" i="5"/>
  <c r="H243" i="5"/>
  <c r="G243" i="5"/>
  <c r="F243" i="5"/>
  <c r="E243" i="5"/>
  <c r="L288" i="5" l="1"/>
  <c r="D354" i="5" l="1"/>
  <c r="D353" i="5"/>
  <c r="D352" i="5"/>
  <c r="D351" i="5"/>
  <c r="O350" i="5"/>
  <c r="N350" i="5"/>
  <c r="M350" i="5"/>
  <c r="L350" i="5"/>
  <c r="K350" i="5"/>
  <c r="J350" i="5"/>
  <c r="I350" i="5"/>
  <c r="H350" i="5"/>
  <c r="G350" i="5"/>
  <c r="F350" i="5"/>
  <c r="E350" i="5"/>
  <c r="D350" i="5" l="1"/>
  <c r="L50" i="5"/>
  <c r="L33" i="5" s="1"/>
  <c r="L49" i="5"/>
  <c r="L30" i="5" s="1"/>
  <c r="L278" i="5" l="1"/>
  <c r="M186" i="5" l="1"/>
  <c r="M33" i="5" l="1"/>
  <c r="M216" i="5"/>
  <c r="L342" i="5" l="1"/>
  <c r="L292" i="5" s="1"/>
  <c r="L287" i="5" s="1"/>
  <c r="K343" i="5" l="1"/>
  <c r="K60" i="5" l="1"/>
  <c r="K45" i="5"/>
  <c r="J343" i="5" l="1"/>
  <c r="K226" i="5"/>
  <c r="K266" i="5" l="1"/>
  <c r="O238" i="5" l="1"/>
  <c r="N238" i="5"/>
  <c r="M238" i="5"/>
  <c r="L238" i="5"/>
  <c r="K238" i="5"/>
  <c r="J238" i="5"/>
  <c r="I238" i="5"/>
  <c r="H238" i="5"/>
  <c r="G238" i="5"/>
  <c r="F238" i="5"/>
  <c r="E238" i="5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42" i="5"/>
  <c r="D241" i="5"/>
  <c r="D240" i="5"/>
  <c r="D239" i="5"/>
  <c r="D237" i="5"/>
  <c r="D236" i="5"/>
  <c r="D235" i="5"/>
  <c r="D234" i="5"/>
  <c r="D232" i="5"/>
  <c r="D231" i="5"/>
  <c r="D230" i="5"/>
  <c r="D229" i="5"/>
  <c r="D238" i="5" l="1"/>
  <c r="D233" i="5"/>
  <c r="D228" i="5"/>
  <c r="L57" i="5" l="1"/>
  <c r="M57" i="5"/>
  <c r="N57" i="5"/>
  <c r="D227" i="5" l="1"/>
  <c r="D226" i="5"/>
  <c r="D225" i="5"/>
  <c r="D224" i="5"/>
  <c r="O223" i="5"/>
  <c r="N223" i="5"/>
  <c r="M223" i="5"/>
  <c r="L223" i="5"/>
  <c r="K223" i="5"/>
  <c r="J223" i="5"/>
  <c r="I223" i="5"/>
  <c r="H223" i="5"/>
  <c r="G223" i="5"/>
  <c r="F223" i="5"/>
  <c r="E223" i="5"/>
  <c r="K196" i="5"/>
  <c r="D223" i="5" l="1"/>
  <c r="K348" i="5"/>
  <c r="K303" i="5"/>
  <c r="K323" i="5" l="1"/>
  <c r="K30" i="5" l="1"/>
  <c r="K211" i="5" l="1"/>
  <c r="K33" i="5" s="1"/>
  <c r="K278" i="5" l="1"/>
  <c r="D278" i="5" l="1"/>
  <c r="K47" i="5" l="1"/>
  <c r="L267" i="5"/>
  <c r="M335" i="5" l="1"/>
  <c r="M330" i="5"/>
  <c r="M340" i="5"/>
  <c r="L340" i="5" l="1"/>
  <c r="D222" i="5"/>
  <c r="D221" i="5"/>
  <c r="D220" i="5"/>
  <c r="D219" i="5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62" i="5"/>
  <c r="L24" i="5" s="1"/>
  <c r="M265" i="5"/>
  <c r="L260" i="5"/>
  <c r="K262" i="5"/>
  <c r="J262" i="5"/>
  <c r="E275" i="5"/>
  <c r="O275" i="5"/>
  <c r="N275" i="5"/>
  <c r="M275" i="5"/>
  <c r="L275" i="5"/>
  <c r="K275" i="5"/>
  <c r="J275" i="5"/>
  <c r="I275" i="5"/>
  <c r="H275" i="5"/>
  <c r="G275" i="5"/>
  <c r="F275" i="5"/>
  <c r="E270" i="5"/>
  <c r="D279" i="5"/>
  <c r="D277" i="5"/>
  <c r="D276" i="5"/>
  <c r="J292" i="5"/>
  <c r="E291" i="5"/>
  <c r="L265" i="5"/>
  <c r="K320" i="5"/>
  <c r="K340" i="5"/>
  <c r="K24" i="5" l="1"/>
  <c r="K293" i="5"/>
  <c r="K288" i="5" s="1"/>
  <c r="D275" i="5"/>
  <c r="K15" i="5" l="1"/>
  <c r="M345" i="5"/>
  <c r="L345" i="5"/>
  <c r="K345" i="5"/>
  <c r="D349" i="5"/>
  <c r="D348" i="5"/>
  <c r="D347" i="5"/>
  <c r="D346" i="5"/>
  <c r="O345" i="5"/>
  <c r="N345" i="5"/>
  <c r="J345" i="5"/>
  <c r="I345" i="5"/>
  <c r="H345" i="5"/>
  <c r="G345" i="5"/>
  <c r="F345" i="5"/>
  <c r="E345" i="5"/>
  <c r="D345" i="5" l="1"/>
  <c r="J323" i="5"/>
  <c r="J313" i="5"/>
  <c r="J308" i="5"/>
  <c r="J267" i="5"/>
  <c r="J45" i="5"/>
  <c r="J196" i="5" l="1"/>
  <c r="J142" i="5"/>
  <c r="J60" i="5"/>
  <c r="D217" i="5" l="1"/>
  <c r="D216" i="5"/>
  <c r="D215" i="5"/>
  <c r="D214" i="5"/>
  <c r="O213" i="5"/>
  <c r="N213" i="5"/>
  <c r="M213" i="5"/>
  <c r="L213" i="5"/>
  <c r="K213" i="5"/>
  <c r="J213" i="5"/>
  <c r="I213" i="5"/>
  <c r="H213" i="5"/>
  <c r="G213" i="5"/>
  <c r="F213" i="5"/>
  <c r="E213" i="5"/>
  <c r="J164" i="5"/>
  <c r="J162" i="5"/>
  <c r="D213" i="5" l="1"/>
  <c r="O120" i="5"/>
  <c r="L120" i="5"/>
  <c r="M120" i="5"/>
  <c r="N120" i="5"/>
  <c r="K265" i="5" l="1"/>
  <c r="D212" i="5"/>
  <c r="D211" i="5"/>
  <c r="D210" i="5"/>
  <c r="D209" i="5"/>
  <c r="O208" i="5"/>
  <c r="N208" i="5"/>
  <c r="M208" i="5"/>
  <c r="L208" i="5"/>
  <c r="K208" i="5"/>
  <c r="J208" i="5"/>
  <c r="I208" i="5"/>
  <c r="H208" i="5"/>
  <c r="G208" i="5"/>
  <c r="F208" i="5"/>
  <c r="E208" i="5"/>
  <c r="J160" i="5"/>
  <c r="J259" i="5"/>
  <c r="J260" i="5"/>
  <c r="D274" i="5"/>
  <c r="J270" i="5"/>
  <c r="D273" i="5"/>
  <c r="D272" i="5"/>
  <c r="D271" i="5"/>
  <c r="O270" i="5"/>
  <c r="N270" i="5"/>
  <c r="M270" i="5"/>
  <c r="L270" i="5"/>
  <c r="K270" i="5"/>
  <c r="I270" i="5"/>
  <c r="H270" i="5"/>
  <c r="G270" i="5"/>
  <c r="F270" i="5"/>
  <c r="D158" i="5"/>
  <c r="D207" i="5"/>
  <c r="D206" i="5"/>
  <c r="D205" i="5"/>
  <c r="D204" i="5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D155" i="5"/>
  <c r="D202" i="5"/>
  <c r="D201" i="5"/>
  <c r="D200" i="5"/>
  <c r="D199" i="5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08" i="5"/>
  <c r="I313" i="5"/>
  <c r="D313" i="5" s="1"/>
  <c r="L335" i="5"/>
  <c r="L330" i="5"/>
  <c r="F33" i="5"/>
  <c r="E33" i="5"/>
  <c r="N30" i="5"/>
  <c r="O30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E28" i="5" s="1"/>
  <c r="D197" i="5"/>
  <c r="D196" i="5"/>
  <c r="D195" i="5"/>
  <c r="D194" i="5"/>
  <c r="O193" i="5"/>
  <c r="N193" i="5"/>
  <c r="M193" i="5"/>
  <c r="L193" i="5"/>
  <c r="K193" i="5"/>
  <c r="J193" i="5"/>
  <c r="I193" i="5"/>
  <c r="H193" i="5"/>
  <c r="G193" i="5"/>
  <c r="F193" i="5"/>
  <c r="E193" i="5"/>
  <c r="I265" i="5"/>
  <c r="D3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E25" i="5" s="1"/>
  <c r="E16" i="5" s="1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E22" i="5" s="1"/>
  <c r="E13" i="5" s="1"/>
  <c r="F259" i="5"/>
  <c r="G259" i="5"/>
  <c r="H259" i="5"/>
  <c r="I259" i="5"/>
  <c r="K259" i="5"/>
  <c r="L259" i="5"/>
  <c r="M259" i="5"/>
  <c r="N259" i="5"/>
  <c r="O259" i="5"/>
  <c r="F260" i="5"/>
  <c r="G260" i="5"/>
  <c r="H260" i="5"/>
  <c r="I260" i="5"/>
  <c r="N260" i="5"/>
  <c r="O260" i="5"/>
  <c r="F262" i="5"/>
  <c r="G262" i="5"/>
  <c r="H262" i="5"/>
  <c r="I262" i="5"/>
  <c r="F264" i="5"/>
  <c r="F27" i="5" s="1"/>
  <c r="G264" i="5"/>
  <c r="G27" i="5" s="1"/>
  <c r="H264" i="5"/>
  <c r="H27" i="5" s="1"/>
  <c r="I264" i="5"/>
  <c r="I27" i="5" s="1"/>
  <c r="J264" i="5"/>
  <c r="J27" i="5" s="1"/>
  <c r="J18" i="5" s="1"/>
  <c r="K264" i="5"/>
  <c r="K27" i="5" s="1"/>
  <c r="K18" i="5" s="1"/>
  <c r="L264" i="5"/>
  <c r="L27" i="5" s="1"/>
  <c r="L18" i="5" s="1"/>
  <c r="M264" i="5"/>
  <c r="M27" i="5" s="1"/>
  <c r="M18" i="5" s="1"/>
  <c r="N264" i="5"/>
  <c r="N27" i="5" s="1"/>
  <c r="N18" i="5" s="1"/>
  <c r="O264" i="5"/>
  <c r="O27" i="5" s="1"/>
  <c r="O18" i="5" s="1"/>
  <c r="E264" i="5"/>
  <c r="E27" i="5" s="1"/>
  <c r="E262" i="5"/>
  <c r="E260" i="5"/>
  <c r="E259" i="5"/>
  <c r="J293" i="5"/>
  <c r="J288" i="5" s="1"/>
  <c r="E293" i="5"/>
  <c r="E288" i="5" s="1"/>
  <c r="F292" i="5"/>
  <c r="F287" i="5" s="1"/>
  <c r="G292" i="5"/>
  <c r="G287" i="5" s="1"/>
  <c r="H292" i="5"/>
  <c r="H287" i="5" s="1"/>
  <c r="I292" i="5"/>
  <c r="I287" i="5" s="1"/>
  <c r="K292" i="5"/>
  <c r="K287" i="5" s="1"/>
  <c r="O287" i="5"/>
  <c r="E292" i="5"/>
  <c r="E287" i="5" s="1"/>
  <c r="F293" i="5"/>
  <c r="G293" i="5"/>
  <c r="H293" i="5"/>
  <c r="H288" i="5" s="1"/>
  <c r="O288" i="5"/>
  <c r="D344" i="5"/>
  <c r="I340" i="5"/>
  <c r="D343" i="5"/>
  <c r="D342" i="5"/>
  <c r="D341" i="5"/>
  <c r="O340" i="5"/>
  <c r="N340" i="5"/>
  <c r="J340" i="5"/>
  <c r="H340" i="5"/>
  <c r="G340" i="5"/>
  <c r="F340" i="5"/>
  <c r="E340" i="5"/>
  <c r="I323" i="5"/>
  <c r="I60" i="5"/>
  <c r="D60" i="5" s="1"/>
  <c r="I142" i="5"/>
  <c r="D142" i="5" s="1"/>
  <c r="I45" i="5"/>
  <c r="I49" i="5"/>
  <c r="I47" i="5" s="1"/>
  <c r="I186" i="5"/>
  <c r="D186" i="5" s="1"/>
  <c r="I185" i="5"/>
  <c r="D185" i="5" s="1"/>
  <c r="I181" i="5"/>
  <c r="I164" i="5"/>
  <c r="I160" i="5" s="1"/>
  <c r="I72" i="5"/>
  <c r="J42" i="5"/>
  <c r="K42" i="5"/>
  <c r="D48" i="5"/>
  <c r="O286" i="5"/>
  <c r="D321" i="5"/>
  <c r="D322" i="5"/>
  <c r="D324" i="5"/>
  <c r="L320" i="5"/>
  <c r="M320" i="5"/>
  <c r="N320" i="5"/>
  <c r="O320" i="5"/>
  <c r="D317" i="5"/>
  <c r="D318" i="5"/>
  <c r="D319" i="5"/>
  <c r="D316" i="5"/>
  <c r="D311" i="5"/>
  <c r="D312" i="5"/>
  <c r="D314" i="5"/>
  <c r="L310" i="5"/>
  <c r="M310" i="5"/>
  <c r="N310" i="5"/>
  <c r="O310" i="5"/>
  <c r="D306" i="5"/>
  <c r="D307" i="5"/>
  <c r="D309" i="5"/>
  <c r="N305" i="5"/>
  <c r="O305" i="5"/>
  <c r="D301" i="5"/>
  <c r="D302" i="5"/>
  <c r="D303" i="5"/>
  <c r="D304" i="5"/>
  <c r="L300" i="5"/>
  <c r="M300" i="5"/>
  <c r="N300" i="5"/>
  <c r="O300" i="5"/>
  <c r="D296" i="5"/>
  <c r="D297" i="5"/>
  <c r="D298" i="5"/>
  <c r="D299" i="5"/>
  <c r="L295" i="5"/>
  <c r="M295" i="5"/>
  <c r="N295" i="5"/>
  <c r="O295" i="5"/>
  <c r="D189" i="5"/>
  <c r="D190" i="5"/>
  <c r="D191" i="5"/>
  <c r="D192" i="5"/>
  <c r="K188" i="5"/>
  <c r="L188" i="5"/>
  <c r="M188" i="5"/>
  <c r="N188" i="5"/>
  <c r="O188" i="5"/>
  <c r="D266" i="5"/>
  <c r="D269" i="5"/>
  <c r="N265" i="5"/>
  <c r="O265" i="5"/>
  <c r="D184" i="5"/>
  <c r="D187" i="5"/>
  <c r="L183" i="5"/>
  <c r="M183" i="5"/>
  <c r="N183" i="5"/>
  <c r="O183" i="5"/>
  <c r="D179" i="5"/>
  <c r="D180" i="5"/>
  <c r="D182" i="5"/>
  <c r="L178" i="5"/>
  <c r="M178" i="5"/>
  <c r="N178" i="5"/>
  <c r="O178" i="5"/>
  <c r="D174" i="5"/>
  <c r="D175" i="5"/>
  <c r="D176" i="5"/>
  <c r="D177" i="5"/>
  <c r="K173" i="5"/>
  <c r="L173" i="5"/>
  <c r="M173" i="5"/>
  <c r="N173" i="5"/>
  <c r="O173" i="5"/>
  <c r="D169" i="5"/>
  <c r="D170" i="5"/>
  <c r="D171" i="5"/>
  <c r="D172" i="5"/>
  <c r="L168" i="5"/>
  <c r="M168" i="5"/>
  <c r="N168" i="5"/>
  <c r="O168" i="5"/>
  <c r="D165" i="5"/>
  <c r="D167" i="5"/>
  <c r="D161" i="5"/>
  <c r="N160" i="5"/>
  <c r="O160" i="5"/>
  <c r="D156" i="5"/>
  <c r="D157" i="5"/>
  <c r="D159" i="5"/>
  <c r="L154" i="5"/>
  <c r="M154" i="5"/>
  <c r="N154" i="5"/>
  <c r="O154" i="5"/>
  <c r="D150" i="5"/>
  <c r="D151" i="5"/>
  <c r="D152" i="5"/>
  <c r="D153" i="5"/>
  <c r="L149" i="5"/>
  <c r="M149" i="5"/>
  <c r="N149" i="5"/>
  <c r="O149" i="5"/>
  <c r="D148" i="5"/>
  <c r="D145" i="5"/>
  <c r="D147" i="5"/>
  <c r="L144" i="5"/>
  <c r="M144" i="5"/>
  <c r="N144" i="5"/>
  <c r="O144" i="5"/>
  <c r="D140" i="5"/>
  <c r="D141" i="5"/>
  <c r="D143" i="5"/>
  <c r="L139" i="5"/>
  <c r="M139" i="5"/>
  <c r="N139" i="5"/>
  <c r="O139" i="5"/>
  <c r="D135" i="5"/>
  <c r="D136" i="5"/>
  <c r="D137" i="5"/>
  <c r="D138" i="5"/>
  <c r="L134" i="5"/>
  <c r="M134" i="5"/>
  <c r="N134" i="5"/>
  <c r="O134" i="5"/>
  <c r="D128" i="5"/>
  <c r="D129" i="5"/>
  <c r="D130" i="5"/>
  <c r="D131" i="5"/>
  <c r="D132" i="5"/>
  <c r="D133" i="5"/>
  <c r="L127" i="5"/>
  <c r="M127" i="5"/>
  <c r="N127" i="5"/>
  <c r="O127" i="5"/>
  <c r="D121" i="5"/>
  <c r="D115" i="5"/>
  <c r="D116" i="5"/>
  <c r="D117" i="5"/>
  <c r="D118" i="5"/>
  <c r="D119" i="5"/>
  <c r="L114" i="5"/>
  <c r="M114" i="5"/>
  <c r="N114" i="5"/>
  <c r="O114" i="5"/>
  <c r="D109" i="5"/>
  <c r="D110" i="5"/>
  <c r="D111" i="5"/>
  <c r="D112" i="5"/>
  <c r="D113" i="5"/>
  <c r="D103" i="5"/>
  <c r="D104" i="5"/>
  <c r="D105" i="5"/>
  <c r="D106" i="5"/>
  <c r="D107" i="5"/>
  <c r="L108" i="5"/>
  <c r="M108" i="5"/>
  <c r="N108" i="5"/>
  <c r="O108" i="5"/>
  <c r="L102" i="5"/>
  <c r="M102" i="5"/>
  <c r="N102" i="5"/>
  <c r="O102" i="5"/>
  <c r="L95" i="5"/>
  <c r="M95" i="5"/>
  <c r="N95" i="5"/>
  <c r="O95" i="5"/>
  <c r="D88" i="5"/>
  <c r="D89" i="5"/>
  <c r="D90" i="5"/>
  <c r="D91" i="5"/>
  <c r="D92" i="5"/>
  <c r="D93" i="5"/>
  <c r="D94" i="5"/>
  <c r="D83" i="5"/>
  <c r="D84" i="5"/>
  <c r="D85" i="5"/>
  <c r="D86" i="5"/>
  <c r="D82" i="5"/>
  <c r="D77" i="5"/>
  <c r="D78" i="5"/>
  <c r="D79" i="5"/>
  <c r="D76" i="5"/>
  <c r="L80" i="5"/>
  <c r="M80" i="5"/>
  <c r="N80" i="5"/>
  <c r="O80" i="5"/>
  <c r="D70" i="5"/>
  <c r="D71" i="5"/>
  <c r="D73" i="5"/>
  <c r="D74" i="5"/>
  <c r="D69" i="5"/>
  <c r="D68" i="5"/>
  <c r="L67" i="5"/>
  <c r="M67" i="5"/>
  <c r="N67" i="5"/>
  <c r="O67" i="5"/>
  <c r="D65" i="5"/>
  <c r="D66" i="5"/>
  <c r="D63" i="5"/>
  <c r="L62" i="5"/>
  <c r="M62" i="5"/>
  <c r="N62" i="5"/>
  <c r="O62" i="5"/>
  <c r="D59" i="5"/>
  <c r="D61" i="5"/>
  <c r="D58" i="5"/>
  <c r="O57" i="5"/>
  <c r="L52" i="5"/>
  <c r="M52" i="5"/>
  <c r="N52" i="5"/>
  <c r="O52" i="5"/>
  <c r="D53" i="5"/>
  <c r="D50" i="5"/>
  <c r="D51" i="5"/>
  <c r="L47" i="5"/>
  <c r="M47" i="5"/>
  <c r="N47" i="5"/>
  <c r="D44" i="5"/>
  <c r="D43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D39" i="5"/>
  <c r="D40" i="5"/>
  <c r="D41" i="5"/>
  <c r="D38" i="5"/>
  <c r="E37" i="5"/>
  <c r="D327" i="5"/>
  <c r="D329" i="5"/>
  <c r="D328" i="5"/>
  <c r="J188" i="5"/>
  <c r="I188" i="5"/>
  <c r="H188" i="5"/>
  <c r="G188" i="5"/>
  <c r="F188" i="5"/>
  <c r="E188" i="5"/>
  <c r="D263" i="5"/>
  <c r="D326" i="5"/>
  <c r="J265" i="5"/>
  <c r="H265" i="5"/>
  <c r="G265" i="5"/>
  <c r="F265" i="5"/>
  <c r="E265" i="5"/>
  <c r="L286" i="5"/>
  <c r="K183" i="5"/>
  <c r="J183" i="5"/>
  <c r="H183" i="5"/>
  <c r="G183" i="5"/>
  <c r="F183" i="5"/>
  <c r="E183" i="5"/>
  <c r="H164" i="5"/>
  <c r="H33" i="5" s="1"/>
  <c r="K144" i="5"/>
  <c r="J144" i="5"/>
  <c r="I144" i="5"/>
  <c r="H144" i="5"/>
  <c r="G144" i="5"/>
  <c r="F144" i="5"/>
  <c r="E144" i="5"/>
  <c r="K62" i="5"/>
  <c r="I62" i="5"/>
  <c r="H62" i="5"/>
  <c r="G62" i="5"/>
  <c r="F62" i="5"/>
  <c r="E62" i="5"/>
  <c r="H47" i="5"/>
  <c r="G47" i="5"/>
  <c r="F47" i="5"/>
  <c r="E47" i="5"/>
  <c r="H67" i="5"/>
  <c r="F288" i="5"/>
  <c r="E294" i="5"/>
  <c r="E289" i="5" s="1"/>
  <c r="D289" i="5" s="1"/>
  <c r="F291" i="5"/>
  <c r="G291" i="5"/>
  <c r="H291" i="5"/>
  <c r="H286" i="5" s="1"/>
  <c r="I291" i="5"/>
  <c r="I286" i="5" s="1"/>
  <c r="J291" i="5"/>
  <c r="J286" i="5" s="1"/>
  <c r="K291" i="5"/>
  <c r="E286" i="5"/>
  <c r="K330" i="5"/>
  <c r="K295" i="5"/>
  <c r="K300" i="5"/>
  <c r="K310" i="5"/>
  <c r="K305" i="5"/>
  <c r="K80" i="5"/>
  <c r="K95" i="5"/>
  <c r="K108" i="5"/>
  <c r="K102" i="5"/>
  <c r="D122" i="5"/>
  <c r="D124" i="5"/>
  <c r="D125" i="5"/>
  <c r="D126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D55" i="5"/>
  <c r="K52" i="5"/>
  <c r="H178" i="5"/>
  <c r="G178" i="5"/>
  <c r="F178" i="5"/>
  <c r="E178" i="5"/>
  <c r="J173" i="5"/>
  <c r="I173" i="5"/>
  <c r="H173" i="5"/>
  <c r="G173" i="5"/>
  <c r="F173" i="5"/>
  <c r="E173" i="5"/>
  <c r="G57" i="5"/>
  <c r="F168" i="5"/>
  <c r="G168" i="5"/>
  <c r="H168" i="5"/>
  <c r="I168" i="5"/>
  <c r="J168" i="5"/>
  <c r="E168" i="5"/>
  <c r="G335" i="5"/>
  <c r="I335" i="5"/>
  <c r="H335" i="5"/>
  <c r="F335" i="5"/>
  <c r="E335" i="5"/>
  <c r="G72" i="5"/>
  <c r="G325" i="5"/>
  <c r="F139" i="5"/>
  <c r="G123" i="5"/>
  <c r="G67" i="5"/>
  <c r="J154" i="5"/>
  <c r="I154" i="5"/>
  <c r="H154" i="5"/>
  <c r="G154" i="5"/>
  <c r="F154" i="5"/>
  <c r="E154" i="5"/>
  <c r="G320" i="5"/>
  <c r="H320" i="5"/>
  <c r="J320" i="5"/>
  <c r="L325" i="5"/>
  <c r="M325" i="5"/>
  <c r="N325" i="5"/>
  <c r="J149" i="5"/>
  <c r="I149" i="5"/>
  <c r="H149" i="5"/>
  <c r="G149" i="5"/>
  <c r="F149" i="5"/>
  <c r="E149" i="5"/>
  <c r="F330" i="5"/>
  <c r="G330" i="5"/>
  <c r="H330" i="5"/>
  <c r="I330" i="5"/>
  <c r="J330" i="5"/>
  <c r="E330" i="5"/>
  <c r="E325" i="5"/>
  <c r="F320" i="5"/>
  <c r="E320" i="5"/>
  <c r="E315" i="5"/>
  <c r="D315" i="5" s="1"/>
  <c r="D261" i="5"/>
  <c r="J310" i="5"/>
  <c r="H310" i="5"/>
  <c r="G310" i="5"/>
  <c r="F310" i="5"/>
  <c r="E310" i="5"/>
  <c r="J305" i="5"/>
  <c r="H305" i="5"/>
  <c r="G305" i="5"/>
  <c r="F305" i="5"/>
  <c r="E305" i="5"/>
  <c r="J300" i="5"/>
  <c r="I300" i="5"/>
  <c r="H300" i="5"/>
  <c r="G300" i="5"/>
  <c r="F300" i="5"/>
  <c r="E300" i="5"/>
  <c r="J295" i="5"/>
  <c r="I295" i="5"/>
  <c r="H295" i="5"/>
  <c r="G295" i="5"/>
  <c r="F295" i="5"/>
  <c r="E29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D101" i="5"/>
  <c r="D100" i="5"/>
  <c r="D99" i="5"/>
  <c r="D98" i="5"/>
  <c r="D97" i="5"/>
  <c r="D96" i="5"/>
  <c r="J95" i="5"/>
  <c r="I95" i="5"/>
  <c r="H95" i="5"/>
  <c r="G95" i="5"/>
  <c r="F95" i="5"/>
  <c r="E95" i="5"/>
  <c r="E87" i="5"/>
  <c r="D87" i="5" s="1"/>
  <c r="E81" i="5"/>
  <c r="D81" i="5" s="1"/>
  <c r="J80" i="5"/>
  <c r="I80" i="5"/>
  <c r="H80" i="5"/>
  <c r="G80" i="5"/>
  <c r="F80" i="5"/>
  <c r="E80" i="5"/>
  <c r="J75" i="5"/>
  <c r="I75" i="5"/>
  <c r="H75" i="5"/>
  <c r="G75" i="5"/>
  <c r="F75" i="5"/>
  <c r="E75" i="5"/>
  <c r="J67" i="5"/>
  <c r="F67" i="5"/>
  <c r="E67" i="5"/>
  <c r="J57" i="5"/>
  <c r="F57" i="5"/>
  <c r="E57" i="5"/>
  <c r="D56" i="5"/>
  <c r="D54" i="5"/>
  <c r="J52" i="5"/>
  <c r="I52" i="5"/>
  <c r="H52" i="5"/>
  <c r="G52" i="5"/>
  <c r="F52" i="5"/>
  <c r="E52" i="5"/>
  <c r="D46" i="5"/>
  <c r="H42" i="5"/>
  <c r="G42" i="5"/>
  <c r="F42" i="5"/>
  <c r="E42" i="5"/>
  <c r="H57" i="5"/>
  <c r="O28" i="5" l="1"/>
  <c r="N28" i="5"/>
  <c r="E21" i="5"/>
  <c r="L20" i="5"/>
  <c r="L11" i="5" s="1"/>
  <c r="E10" i="5"/>
  <c r="O21" i="5"/>
  <c r="F258" i="5"/>
  <c r="G20" i="5"/>
  <c r="I57" i="5"/>
  <c r="L305" i="5"/>
  <c r="D294" i="5"/>
  <c r="D29" i="5"/>
  <c r="D198" i="5"/>
  <c r="M20" i="5"/>
  <c r="H20" i="5"/>
  <c r="H11" i="5" s="1"/>
  <c r="F21" i="5"/>
  <c r="F12" i="5" s="1"/>
  <c r="G290" i="5"/>
  <c r="N20" i="5"/>
  <c r="N24" i="5"/>
  <c r="D203" i="5"/>
  <c r="G288" i="5"/>
  <c r="D34" i="5"/>
  <c r="I310" i="5"/>
  <c r="D310" i="5" s="1"/>
  <c r="I258" i="5"/>
  <c r="D193" i="5"/>
  <c r="O20" i="5"/>
  <c r="O11" i="5" s="1"/>
  <c r="F24" i="5"/>
  <c r="D264" i="5"/>
  <c r="H258" i="5"/>
  <c r="I183" i="5"/>
  <c r="D183" i="5" s="1"/>
  <c r="I139" i="5"/>
  <c r="D139" i="5" s="1"/>
  <c r="O290" i="5"/>
  <c r="J30" i="5"/>
  <c r="H160" i="5"/>
  <c r="E20" i="5"/>
  <c r="E11" i="5" s="1"/>
  <c r="D270" i="5"/>
  <c r="M305" i="5"/>
  <c r="L290" i="5"/>
  <c r="J33" i="5"/>
  <c r="J24" i="5" s="1"/>
  <c r="J15" i="5" s="1"/>
  <c r="G33" i="5"/>
  <c r="G28" i="5" s="1"/>
  <c r="F286" i="5"/>
  <c r="F285" i="5" s="1"/>
  <c r="D49" i="5"/>
  <c r="D47" i="5" s="1"/>
  <c r="K286" i="5"/>
  <c r="K285" i="5" s="1"/>
  <c r="K290" i="5"/>
  <c r="J258" i="5"/>
  <c r="G120" i="5"/>
  <c r="D120" i="5" s="1"/>
  <c r="D123" i="5"/>
  <c r="I30" i="5"/>
  <c r="I21" i="5" s="1"/>
  <c r="I12" i="5" s="1"/>
  <c r="I33" i="5"/>
  <c r="D52" i="5"/>
  <c r="E285" i="5"/>
  <c r="H21" i="5"/>
  <c r="H12" i="5" s="1"/>
  <c r="O24" i="5"/>
  <c r="D173" i="5"/>
  <c r="F28" i="5"/>
  <c r="D149" i="5"/>
  <c r="D127" i="5"/>
  <c r="D75" i="5"/>
  <c r="D108" i="5"/>
  <c r="E24" i="5"/>
  <c r="E15" i="5" s="1"/>
  <c r="F20" i="5"/>
  <c r="D208" i="5"/>
  <c r="D134" i="5"/>
  <c r="D154" i="5"/>
  <c r="D80" i="5"/>
  <c r="D144" i="5"/>
  <c r="D57" i="5"/>
  <c r="D62" i="5"/>
  <c r="D295" i="5"/>
  <c r="D300" i="5"/>
  <c r="E290" i="5"/>
  <c r="D325" i="5"/>
  <c r="F290" i="5"/>
  <c r="O285" i="5"/>
  <c r="H290" i="5"/>
  <c r="E258" i="5"/>
  <c r="H10" i="5"/>
  <c r="I20" i="5"/>
  <c r="I11" i="5" s="1"/>
  <c r="G21" i="5"/>
  <c r="G12" i="5" s="1"/>
  <c r="D27" i="5"/>
  <c r="N258" i="5"/>
  <c r="G258" i="5"/>
  <c r="O258" i="5"/>
  <c r="D259" i="5"/>
  <c r="N21" i="5"/>
  <c r="D22" i="5"/>
  <c r="G13" i="5"/>
  <c r="G10" i="5" s="1"/>
  <c r="F16" i="5"/>
  <c r="D16" i="5" s="1"/>
  <c r="D25" i="5"/>
  <c r="D102" i="5"/>
  <c r="D114" i="5"/>
  <c r="J11" i="5"/>
  <c r="D188" i="5"/>
  <c r="I10" i="5"/>
  <c r="D95" i="5"/>
  <c r="D340" i="5"/>
  <c r="G286" i="5"/>
  <c r="H24" i="5"/>
  <c r="H28" i="5"/>
  <c r="D339" i="5"/>
  <c r="D323" i="5"/>
  <c r="I320" i="5"/>
  <c r="D320" i="5" s="1"/>
  <c r="D168" i="5"/>
  <c r="H285" i="5"/>
  <c r="D181" i="5"/>
  <c r="I178" i="5"/>
  <c r="D178" i="5" s="1"/>
  <c r="D45" i="5"/>
  <c r="D42" i="5" s="1"/>
  <c r="I42" i="5"/>
  <c r="I293" i="5"/>
  <c r="F15" i="5"/>
  <c r="D37" i="5"/>
  <c r="D72" i="5"/>
  <c r="I67" i="5"/>
  <c r="D67" i="5" s="1"/>
  <c r="J287" i="5"/>
  <c r="J285" i="5" s="1"/>
  <c r="J290" i="5"/>
  <c r="E12" i="5"/>
  <c r="K20" i="5"/>
  <c r="I305" i="5"/>
  <c r="J62" i="5"/>
  <c r="D308" i="5"/>
  <c r="D31" i="5"/>
  <c r="O12" i="5" l="1"/>
  <c r="N19" i="5"/>
  <c r="O15" i="5"/>
  <c r="O19" i="5"/>
  <c r="D33" i="5"/>
  <c r="L285" i="5"/>
  <c r="G24" i="5"/>
  <c r="G15" i="5" s="1"/>
  <c r="F19" i="5"/>
  <c r="D305" i="5"/>
  <c r="F11" i="5"/>
  <c r="D20" i="5"/>
  <c r="F9" i="5"/>
  <c r="E19" i="5"/>
  <c r="E9" i="5" s="1"/>
  <c r="D13" i="5"/>
  <c r="F10" i="5"/>
  <c r="D10" i="5" s="1"/>
  <c r="G285" i="5"/>
  <c r="G11" i="5"/>
  <c r="I288" i="5"/>
  <c r="I290" i="5"/>
  <c r="I24" i="5"/>
  <c r="I28" i="5"/>
  <c r="D338" i="5"/>
  <c r="J28" i="5"/>
  <c r="J21" i="5"/>
  <c r="K11" i="5"/>
  <c r="H15" i="5"/>
  <c r="H19" i="5"/>
  <c r="H9" i="5" s="1"/>
  <c r="O9" i="5" l="1"/>
  <c r="G19" i="5"/>
  <c r="G9" i="5" s="1"/>
  <c r="I15" i="5"/>
  <c r="I19" i="5"/>
  <c r="I285" i="5"/>
  <c r="N335" i="5"/>
  <c r="J12" i="5"/>
  <c r="J19" i="5"/>
  <c r="J9" i="5" s="1"/>
  <c r="D337" i="5"/>
  <c r="D336" i="5" l="1"/>
  <c r="M287" i="5"/>
  <c r="D333" i="5"/>
  <c r="I9" i="5"/>
  <c r="N288" i="5" l="1"/>
  <c r="D293" i="5"/>
  <c r="D335" i="5"/>
  <c r="D332" i="5"/>
  <c r="M286" i="5"/>
  <c r="N330" i="5" l="1"/>
  <c r="D331" i="5"/>
  <c r="D291" i="5"/>
  <c r="M285" i="5"/>
  <c r="M11" i="5"/>
  <c r="N287" i="5"/>
  <c r="D292" i="5"/>
  <c r="D334" i="5"/>
  <c r="D330" i="5"/>
  <c r="N15" i="5"/>
  <c r="D288" i="5"/>
  <c r="N12" i="5" l="1"/>
  <c r="D287" i="5"/>
  <c r="N290" i="5"/>
  <c r="D290" i="5" s="1"/>
  <c r="D18" i="5"/>
  <c r="N286" i="5"/>
  <c r="N11" i="5" l="1"/>
  <c r="D11" i="5" s="1"/>
  <c r="N285" i="5"/>
  <c r="D285" i="5" s="1"/>
  <c r="D286" i="5"/>
  <c r="N9" i="5" l="1"/>
  <c r="D265" i="5" l="1"/>
  <c r="M260" i="5"/>
  <c r="D267" i="5"/>
  <c r="K260" i="5" l="1"/>
  <c r="M258" i="5" l="1"/>
  <c r="D260" i="5"/>
  <c r="K258" i="5"/>
  <c r="D268" i="5"/>
  <c r="L258" i="5"/>
  <c r="D258" i="5" l="1"/>
  <c r="D262" i="5"/>
  <c r="D164" i="5"/>
  <c r="D162" i="5"/>
  <c r="L15" i="5"/>
  <c r="M24" i="5"/>
  <c r="M160" i="5"/>
  <c r="L160" i="5"/>
  <c r="L21" i="5"/>
  <c r="K160" i="5"/>
  <c r="M21" i="5" l="1"/>
  <c r="M19" i="5" s="1"/>
  <c r="M9" i="5" s="1"/>
  <c r="M28" i="5"/>
  <c r="M15" i="5"/>
  <c r="D15" i="5" s="1"/>
  <c r="L19" i="5"/>
  <c r="D160" i="5"/>
  <c r="D30" i="5"/>
  <c r="K21" i="5"/>
  <c r="D21" i="5" s="1"/>
  <c r="D24" i="5"/>
  <c r="L12" i="5"/>
  <c r="L28" i="5"/>
  <c r="M12" i="5" l="1"/>
  <c r="L9" i="5"/>
  <c r="K19" i="5"/>
  <c r="K9" i="5" s="1"/>
  <c r="K12" i="5"/>
  <c r="D28" i="5"/>
  <c r="D12" i="5" l="1"/>
  <c r="D19" i="5"/>
  <c r="D9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6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6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7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4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<sst xmlns="http://schemas.openxmlformats.org/spreadsheetml/2006/main" count="505" uniqueCount="159">
  <si>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</si>
  <si>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</si>
  <si>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</si>
  <si>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</si>
  <si>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</si>
  <si>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</si>
  <si>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</si>
  <si>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</si>
  <si>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</si>
  <si>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</si>
  <si>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</si>
  <si>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</si>
  <si>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</si>
  <si>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</si>
  <si>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</si>
  <si>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</si>
  <si>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</si>
  <si>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</si>
  <si>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</si>
  <si>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</si>
  <si>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</si>
  <si>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</si>
  <si>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</si>
  <si>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</si>
  <si>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</si>
  <si>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</si>
  <si>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</si>
  <si>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</si>
  <si>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</si>
  <si>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</si>
  <si>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</si>
  <si>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</si>
  <si>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</si>
  <si>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</si>
  <si>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</si>
  <si>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</si>
  <si>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</si>
  <si>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</si>
  <si>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</si>
  <si>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</si>
  <si>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</si>
  <si>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</si>
  <si>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</si>
  <si>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</si>
  <si>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</si>
  <si>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</si>
  <si>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</si>
  <si>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</si>
  <si>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</si>
  <si>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</si>
  <si>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</si>
  <si>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</si>
  <si>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</si>
  <si>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</si>
  <si>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</si>
  <si>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</si>
  <si>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</si>
  <si>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</si>
  <si>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</si>
  <si>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</si>
  <si>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</si>
  <si>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</si>
  <si>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</si>
  <si>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</si>
  <si>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</si>
  <si>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</si>
  <si>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</si>
  <si>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</si>
  <si>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</si>
  <si>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</si>
  <si>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</si>
  <si>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</si>
  <si>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</si>
  <si>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</si>
  <si>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</si>
  <si>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</si>
  <si>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</si>
  <si>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</si>
  <si>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</si>
  <si>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</si>
  <si>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</si>
  <si>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</si>
  <si>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</si>
  <si>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</si>
  <si>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</si>
  <si>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</si>
  <si>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</si>
  <si>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</si>
  <si>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</si>
  <si>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</si>
  <si>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</si>
  <si>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</si>
  <si>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</si>
  <si>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</si>
  <si>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</si>
  <si>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</si>
  <si>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</si>
  <si>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</si>
  <si>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</si>
  <si>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</si>
  <si>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</si>
  <si>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</si>
  <si>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</si>
  <si>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</si>
  <si>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</si>
  <si>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</si>
  <si>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</si>
  <si>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</si>
  <si>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</si>
  <si>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</si>
  <si>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</si>
  <si>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</si>
  <si>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</si>
  <si>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</si>
  <si>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</si>
  <si>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</si>
  <si>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</si>
  <si>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</si>
  <si>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</si>
  <si>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</si>
  <si>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</si>
  <si>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</si>
  <si>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</si>
  <si>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</si>
  <si>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</si>
  <si>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</si>
  <si>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</si>
  <si>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</si>
  <si>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</si>
  <si>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</si>
  <si>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</si>
  <si>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</si>
  <si>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</si>
  <si>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</si>
  <si>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</si>
  <si>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</si>
  <si>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</si>
  <si>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</si>
  <si>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</si>
  <si>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</si>
  <si>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</si>
  <si>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</si>
  <si>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</si>
  <si>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</si>
  <si>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</si>
  <si>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</si>
  <si>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</si>
  <si>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</si>
  <si>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</si>
  <si>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</si>
  <si>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</si>
  <si>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</si>
  <si>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</si>
  <si>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</si>
  <si>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</si>
  <si>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</si>
  <si>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</si>
  <si>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 xml:space="preserve">Приложение № 5   к постановлению администрации города Благовещенска </t>
  </si>
  <si>
    <t>от 27.09.2023 № 5052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</si>
</sst>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165" fontId="16" fillId="0" borderId="0" xfId="3" applyNumberFormat="1" applyFont="1" applyFill="1" applyBorder="1" applyAlignment="1">
      <alignment horizontal="center" vertical="center"/>
    </xf>
    <xf numFmtId="165" fontId="16" fillId="0" borderId="0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71"/>
  <sheetViews>
    <sheetView tabSelected="1" view="pageBreakPreview" zoomScale="70" zoomScaleSheetLayoutView="7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B3" sqref="B3"/>
    </sheetView>
  </sheetViews>
  <sheetFormatPr defaultColWidth="9.140625" defaultRowHeight="12.75" x14ac:dyDescent="0.2"/>
  <cols>
    <col min="1" max="1" width="19" style="38" customWidth="1"/>
    <col min="2" max="2" width="41.85546875" style="39" customWidth="1"/>
    <col min="3" max="3" width="27" style="6" customWidth="1"/>
    <col min="4" max="4" width="14.5703125" style="6" customWidth="1"/>
    <col min="5" max="5" width="11.85546875" style="6" customWidth="1"/>
    <col min="6" max="6" width="12" style="6" customWidth="1"/>
    <col min="7" max="7" width="11.28515625" style="6" customWidth="1"/>
    <col min="8" max="9" width="12.42578125" style="6" customWidth="1"/>
    <col min="10" max="10" width="12.5703125" style="6" customWidth="1"/>
    <col min="11" max="11" width="13" style="6" customWidth="1"/>
    <col min="12" max="12" width="13.42578125" style="6" customWidth="1"/>
    <col min="13" max="13" width="12.85546875" style="6" customWidth="1"/>
    <col min="14" max="14" width="11.7109375" style="6" customWidth="1"/>
    <col min="15" max="15" width="11.42578125" style="6" customWidth="1"/>
    <col min="16" max="16" width="11.28515625" style="6" bestFit="1" customWidth="1"/>
    <col min="17" max="17" width="9" style="6" customWidth="1"/>
    <col min="18" max="16384" width="9.140625" style="6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9" t="s">
        <v>157</v>
      </c>
      <c r="M1" s="59"/>
      <c r="N1" s="59"/>
      <c r="O1" s="59"/>
    </row>
    <row r="2" spans="1:16" s="3" customFormat="1" ht="15" customHeight="1" x14ac:dyDescent="0.25">
      <c r="A2" s="1"/>
      <c r="B2" s="2"/>
      <c r="C2" s="2"/>
      <c r="D2" s="2"/>
      <c r="E2" s="2"/>
      <c r="G2" s="2"/>
      <c r="L2" s="65" t="s">
        <v>158</v>
      </c>
      <c r="M2" s="65"/>
      <c r="N2" s="65"/>
      <c r="O2" s="65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9" t="s">
        <v>101</v>
      </c>
      <c r="M3" s="59"/>
      <c r="N3" s="59"/>
      <c r="O3" s="59"/>
    </row>
    <row r="4" spans="1:16" s="3" customFormat="1" ht="15" customHeight="1" x14ac:dyDescent="0.25">
      <c r="A4" s="1"/>
      <c r="B4" s="2"/>
      <c r="C4" s="2"/>
      <c r="D4" s="2"/>
      <c r="E4" s="2"/>
      <c r="G4" s="2"/>
      <c r="L4" s="5"/>
      <c r="M4" s="5"/>
      <c r="N4" s="5"/>
      <c r="O4" s="5"/>
    </row>
    <row r="5" spans="1:16" ht="51.75" customHeight="1" x14ac:dyDescent="0.2">
      <c r="A5" s="64" t="s">
        <v>114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</row>
    <row r="6" spans="1:16" ht="20.25" customHeight="1" x14ac:dyDescent="0.2">
      <c r="A6" s="61" t="s">
        <v>5</v>
      </c>
      <c r="B6" s="60" t="s">
        <v>56</v>
      </c>
      <c r="C6" s="60" t="s">
        <v>21</v>
      </c>
      <c r="D6" s="60" t="s">
        <v>102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6" ht="39.75" customHeight="1" x14ac:dyDescent="0.2">
      <c r="A7" s="62"/>
      <c r="B7" s="60"/>
      <c r="C7" s="60"/>
      <c r="D7" s="7" t="s">
        <v>0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7" t="s">
        <v>74</v>
      </c>
      <c r="L7" s="7" t="s">
        <v>87</v>
      </c>
      <c r="M7" s="7" t="s">
        <v>88</v>
      </c>
      <c r="N7" s="7" t="s">
        <v>89</v>
      </c>
      <c r="O7" s="7" t="s">
        <v>90</v>
      </c>
    </row>
    <row r="8" spans="1:16" ht="1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</row>
    <row r="9" spans="1:16" ht="15.75" x14ac:dyDescent="0.2">
      <c r="A9" s="52" t="s">
        <v>17</v>
      </c>
      <c r="B9" s="52" t="s">
        <v>99</v>
      </c>
      <c r="C9" s="9" t="s">
        <v>92</v>
      </c>
      <c r="D9" s="10">
        <f>E9+F9+G9+H9+I9+J9+K9+L9+M9+N9+O9</f>
        <v>13642928.24</v>
      </c>
      <c r="E9" s="10">
        <f t="shared" ref="E9:O9" si="0">E19+E285</f>
        <v>763177.3</v>
      </c>
      <c r="F9" s="10">
        <f t="shared" si="0"/>
        <v>720249.84</v>
      </c>
      <c r="G9" s="10">
        <f t="shared" si="0"/>
        <v>787661.3</v>
      </c>
      <c r="H9" s="10">
        <f t="shared" si="0"/>
        <v>723709.7</v>
      </c>
      <c r="I9" s="10">
        <f t="shared" si="0"/>
        <v>1123197</v>
      </c>
      <c r="J9" s="10">
        <f t="shared" si="0"/>
        <v>1887122.0999999996</v>
      </c>
      <c r="K9" s="10">
        <f t="shared" si="0"/>
        <v>1976958.4</v>
      </c>
      <c r="L9" s="10">
        <f t="shared" si="0"/>
        <v>2124881.5</v>
      </c>
      <c r="M9" s="10">
        <f t="shared" si="0"/>
        <v>1989746.2000000002</v>
      </c>
      <c r="N9" s="10">
        <f t="shared" si="0"/>
        <v>1000173.4999999999</v>
      </c>
      <c r="O9" s="10">
        <f t="shared" si="0"/>
        <v>546051.4</v>
      </c>
      <c r="P9" s="11"/>
    </row>
    <row r="10" spans="1:16" ht="49.5" customHeight="1" x14ac:dyDescent="0.2">
      <c r="A10" s="52"/>
      <c r="B10" s="52"/>
      <c r="C10" s="12" t="s">
        <v>25</v>
      </c>
      <c r="D10" s="13">
        <f t="shared" ref="D10:D18" si="1">E10+F10+G10+H10+I10+J10+K10+L10+M10+N10+O10</f>
        <v>55407.539999999994</v>
      </c>
      <c r="E10" s="13">
        <f>E13+E16</f>
        <v>34421.74</v>
      </c>
      <c r="F10" s="13">
        <f>F13+F16</f>
        <v>17132.8</v>
      </c>
      <c r="G10" s="13">
        <f>G13+G16</f>
        <v>2099.7999999999997</v>
      </c>
      <c r="H10" s="13">
        <f>H13+H16</f>
        <v>1753.2</v>
      </c>
      <c r="I10" s="13">
        <f>I13+I16</f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</row>
    <row r="11" spans="1:16" ht="15.75" x14ac:dyDescent="0.2">
      <c r="A11" s="52"/>
      <c r="B11" s="52"/>
      <c r="C11" s="14" t="s">
        <v>1</v>
      </c>
      <c r="D11" s="15">
        <f t="shared" si="1"/>
        <v>904820.10000000009</v>
      </c>
      <c r="E11" s="15">
        <f t="shared" ref="E11:O11" si="2">E20+E286</f>
        <v>14872.6</v>
      </c>
      <c r="F11" s="15">
        <f t="shared" si="2"/>
        <v>818.3</v>
      </c>
      <c r="G11" s="15">
        <f t="shared" si="2"/>
        <v>2394.3000000000002</v>
      </c>
      <c r="H11" s="15">
        <f t="shared" si="2"/>
        <v>0</v>
      </c>
      <c r="I11" s="15">
        <f t="shared" si="2"/>
        <v>403667</v>
      </c>
      <c r="J11" s="15">
        <f t="shared" si="2"/>
        <v>36000</v>
      </c>
      <c r="K11" s="15">
        <f t="shared" si="2"/>
        <v>369567.9</v>
      </c>
      <c r="L11" s="15">
        <f t="shared" si="2"/>
        <v>77500</v>
      </c>
      <c r="M11" s="15">
        <f t="shared" si="2"/>
        <v>0</v>
      </c>
      <c r="N11" s="15">
        <f t="shared" si="2"/>
        <v>0</v>
      </c>
      <c r="O11" s="15">
        <f t="shared" si="2"/>
        <v>0</v>
      </c>
    </row>
    <row r="12" spans="1:16" ht="31.5" x14ac:dyDescent="0.2">
      <c r="A12" s="52"/>
      <c r="B12" s="52"/>
      <c r="C12" s="14" t="s">
        <v>23</v>
      </c>
      <c r="D12" s="15">
        <f t="shared" si="1"/>
        <v>8983052.3399999999</v>
      </c>
      <c r="E12" s="15">
        <f t="shared" ref="E12:O12" si="3">E21+E287</f>
        <v>299339.3</v>
      </c>
      <c r="F12" s="15">
        <f t="shared" si="3"/>
        <v>320678.94</v>
      </c>
      <c r="G12" s="15">
        <f t="shared" si="3"/>
        <v>342311</v>
      </c>
      <c r="H12" s="15">
        <f t="shared" si="3"/>
        <v>304123.2</v>
      </c>
      <c r="I12" s="15">
        <f t="shared" si="3"/>
        <v>445203</v>
      </c>
      <c r="J12" s="15">
        <f t="shared" si="3"/>
        <v>1526457.7999999998</v>
      </c>
      <c r="K12" s="15">
        <f t="shared" si="3"/>
        <v>1153669.2</v>
      </c>
      <c r="L12" s="15">
        <f t="shared" si="3"/>
        <v>1576946.5</v>
      </c>
      <c r="M12" s="15">
        <f t="shared" si="3"/>
        <v>1763514.4000000001</v>
      </c>
      <c r="N12" s="15">
        <f t="shared" si="3"/>
        <v>820710.79999999993</v>
      </c>
      <c r="O12" s="15">
        <f t="shared" si="3"/>
        <v>430098.2</v>
      </c>
    </row>
    <row r="13" spans="1:16" ht="51.75" customHeight="1" x14ac:dyDescent="0.2">
      <c r="A13" s="52"/>
      <c r="B13" s="52"/>
      <c r="C13" s="12" t="s">
        <v>25</v>
      </c>
      <c r="D13" s="15">
        <f t="shared" si="1"/>
        <v>31785.5</v>
      </c>
      <c r="E13" s="13">
        <f>E22</f>
        <v>31785.5</v>
      </c>
      <c r="F13" s="13">
        <f>F22</f>
        <v>0</v>
      </c>
      <c r="G13" s="13">
        <f>G22</f>
        <v>0</v>
      </c>
      <c r="H13" s="13">
        <f>H22</f>
        <v>0</v>
      </c>
      <c r="I13" s="13">
        <f>I22</f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</row>
    <row r="14" spans="1:16" ht="51.75" customHeight="1" x14ac:dyDescent="0.2">
      <c r="A14" s="52"/>
      <c r="B14" s="52"/>
      <c r="C14" s="16" t="s">
        <v>142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3">
        <f>M23</f>
        <v>35791.300000000003</v>
      </c>
      <c r="N14" s="13">
        <f t="shared" ref="N14:O14" si="4">N23</f>
        <v>0</v>
      </c>
      <c r="O14" s="13">
        <f t="shared" si="4"/>
        <v>0</v>
      </c>
    </row>
    <row r="15" spans="1:16" ht="31.5" x14ac:dyDescent="0.2">
      <c r="A15" s="52"/>
      <c r="B15" s="52"/>
      <c r="C15" s="14" t="s">
        <v>24</v>
      </c>
      <c r="D15" s="15">
        <f t="shared" si="1"/>
        <v>3755055.8</v>
      </c>
      <c r="E15" s="15">
        <f t="shared" ref="E15:O15" si="5">E24+E288</f>
        <v>448965.40000000008</v>
      </c>
      <c r="F15" s="15">
        <f t="shared" si="5"/>
        <v>398752.6</v>
      </c>
      <c r="G15" s="15">
        <f t="shared" si="5"/>
        <v>442955.99999999994</v>
      </c>
      <c r="H15" s="15">
        <f t="shared" si="5"/>
        <v>419586.49999999994</v>
      </c>
      <c r="I15" s="15">
        <f t="shared" si="5"/>
        <v>274327.00000000006</v>
      </c>
      <c r="J15" s="15">
        <f t="shared" si="5"/>
        <v>324664.29999999993</v>
      </c>
      <c r="K15" s="15">
        <f t="shared" si="5"/>
        <v>453721.30000000005</v>
      </c>
      <c r="L15" s="15">
        <f t="shared" si="5"/>
        <v>470435.00000000006</v>
      </c>
      <c r="M15" s="15">
        <f t="shared" si="5"/>
        <v>226231.80000000002</v>
      </c>
      <c r="N15" s="15">
        <f t="shared" si="5"/>
        <v>179462.7</v>
      </c>
      <c r="O15" s="15">
        <f t="shared" si="5"/>
        <v>115953.20000000001</v>
      </c>
    </row>
    <row r="16" spans="1:16" ht="51" customHeight="1" x14ac:dyDescent="0.2">
      <c r="A16" s="52"/>
      <c r="B16" s="52"/>
      <c r="C16" s="12" t="s">
        <v>25</v>
      </c>
      <c r="D16" s="13">
        <f t="shared" si="1"/>
        <v>23622.04</v>
      </c>
      <c r="E16" s="13">
        <f>E25</f>
        <v>2636.2400000000002</v>
      </c>
      <c r="F16" s="13">
        <f t="shared" ref="F16:O16" si="6">F25</f>
        <v>17132.8</v>
      </c>
      <c r="G16" s="13">
        <f t="shared" si="6"/>
        <v>2099.7999999999997</v>
      </c>
      <c r="H16" s="13">
        <f t="shared" si="6"/>
        <v>1753.2</v>
      </c>
      <c r="I16" s="13">
        <f t="shared" si="6"/>
        <v>0</v>
      </c>
      <c r="J16" s="13">
        <f t="shared" si="6"/>
        <v>0</v>
      </c>
      <c r="K16" s="13">
        <f t="shared" si="6"/>
        <v>0</v>
      </c>
      <c r="L16" s="13">
        <f t="shared" si="6"/>
        <v>0</v>
      </c>
      <c r="M16" s="13">
        <f t="shared" si="6"/>
        <v>0</v>
      </c>
      <c r="N16" s="13">
        <f t="shared" si="6"/>
        <v>0</v>
      </c>
      <c r="O16" s="13">
        <f t="shared" si="6"/>
        <v>0</v>
      </c>
    </row>
    <row r="17" spans="1:15" ht="51" customHeight="1" x14ac:dyDescent="0.2">
      <c r="A17" s="52"/>
      <c r="B17" s="52"/>
      <c r="C17" s="16" t="s">
        <v>71</v>
      </c>
      <c r="D17" s="13">
        <f>D26</f>
        <v>0</v>
      </c>
      <c r="E17" s="13">
        <f t="shared" ref="E17:O17" si="7">E26</f>
        <v>0</v>
      </c>
      <c r="F17" s="13">
        <f t="shared" si="7"/>
        <v>0</v>
      </c>
      <c r="G17" s="13">
        <f t="shared" si="7"/>
        <v>0</v>
      </c>
      <c r="H17" s="13">
        <f t="shared" si="7"/>
        <v>0</v>
      </c>
      <c r="I17" s="13">
        <f t="shared" si="7"/>
        <v>0</v>
      </c>
      <c r="J17" s="13">
        <f t="shared" si="7"/>
        <v>0</v>
      </c>
      <c r="K17" s="13">
        <f t="shared" si="7"/>
        <v>0</v>
      </c>
      <c r="L17" s="13">
        <f t="shared" si="7"/>
        <v>0</v>
      </c>
      <c r="M17" s="13">
        <f t="shared" si="7"/>
        <v>2284.5</v>
      </c>
      <c r="N17" s="13">
        <f t="shared" si="7"/>
        <v>0</v>
      </c>
      <c r="O17" s="13">
        <f t="shared" si="7"/>
        <v>0</v>
      </c>
    </row>
    <row r="18" spans="1:15" ht="21" customHeight="1" x14ac:dyDescent="0.2">
      <c r="A18" s="52"/>
      <c r="B18" s="52"/>
      <c r="C18" s="17" t="s">
        <v>4</v>
      </c>
      <c r="D18" s="15">
        <f t="shared" si="1"/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f t="shared" ref="J18:O18" si="8">J27+J289</f>
        <v>0</v>
      </c>
      <c r="K18" s="15">
        <f t="shared" si="8"/>
        <v>0</v>
      </c>
      <c r="L18" s="15">
        <f t="shared" si="8"/>
        <v>0</v>
      </c>
      <c r="M18" s="15">
        <f t="shared" si="8"/>
        <v>0</v>
      </c>
      <c r="N18" s="15">
        <f t="shared" si="8"/>
        <v>0</v>
      </c>
      <c r="O18" s="15">
        <f t="shared" si="8"/>
        <v>0</v>
      </c>
    </row>
    <row r="19" spans="1:15" ht="15.75" x14ac:dyDescent="0.2">
      <c r="A19" s="63" t="s">
        <v>6</v>
      </c>
      <c r="B19" s="52" t="s">
        <v>9</v>
      </c>
      <c r="C19" s="9" t="s">
        <v>92</v>
      </c>
      <c r="D19" s="10">
        <f>E19+F19+G19+H19+I19+J19+K19+L19+M19+N19+O19</f>
        <v>12168208.940000001</v>
      </c>
      <c r="E19" s="10">
        <f>E20+E21+E24+E27</f>
        <v>648991.20000000007</v>
      </c>
      <c r="F19" s="10">
        <f>F20+F21+F24+F27</f>
        <v>661777.24</v>
      </c>
      <c r="G19" s="10">
        <f>G20+G21+G24+G27</f>
        <v>711501</v>
      </c>
      <c r="H19" s="10">
        <f t="shared" ref="H19" si="9">H20+H21+H24+H27</f>
        <v>669033.1</v>
      </c>
      <c r="I19" s="10">
        <f>I20+I21+I24+I27</f>
        <v>1052941.7</v>
      </c>
      <c r="J19" s="10">
        <f>J20+J21+J24+J27</f>
        <v>1795285.6999999997</v>
      </c>
      <c r="K19" s="10">
        <f>K20+K21+K24+K27</f>
        <v>1804328.9</v>
      </c>
      <c r="L19" s="10">
        <f>L20+L21+L24+L27</f>
        <v>1802646.8</v>
      </c>
      <c r="M19" s="10">
        <f t="shared" ref="M19:O19" si="10">M20+M21+M24+M27</f>
        <v>1680756.6</v>
      </c>
      <c r="N19" s="10">
        <f t="shared" si="10"/>
        <v>872292.39999999991</v>
      </c>
      <c r="O19" s="10">
        <f t="shared" si="10"/>
        <v>468654.3</v>
      </c>
    </row>
    <row r="20" spans="1:15" ht="15.75" x14ac:dyDescent="0.2">
      <c r="A20" s="63"/>
      <c r="B20" s="52"/>
      <c r="C20" s="14" t="s">
        <v>1</v>
      </c>
      <c r="D20" s="15">
        <f t="shared" ref="D20:D25" si="11">E20+F20+G20+H20+I20+J20+K20+L20+M20+N20+O20</f>
        <v>814605.10000000009</v>
      </c>
      <c r="E20" s="15">
        <f t="shared" ref="E20:O20" si="12">E29+E259</f>
        <v>3757.6</v>
      </c>
      <c r="F20" s="15">
        <f t="shared" si="12"/>
        <v>818.3</v>
      </c>
      <c r="G20" s="15">
        <f t="shared" si="12"/>
        <v>794.3</v>
      </c>
      <c r="H20" s="15">
        <f t="shared" si="12"/>
        <v>0</v>
      </c>
      <c r="I20" s="15">
        <f t="shared" si="12"/>
        <v>403667</v>
      </c>
      <c r="J20" s="15">
        <f t="shared" si="12"/>
        <v>36000</v>
      </c>
      <c r="K20" s="15">
        <f t="shared" si="12"/>
        <v>369567.9</v>
      </c>
      <c r="L20" s="15">
        <f t="shared" si="12"/>
        <v>0</v>
      </c>
      <c r="M20" s="15">
        <f t="shared" si="12"/>
        <v>0</v>
      </c>
      <c r="N20" s="15">
        <f t="shared" si="12"/>
        <v>0</v>
      </c>
      <c r="O20" s="15">
        <f t="shared" si="12"/>
        <v>0</v>
      </c>
    </row>
    <row r="21" spans="1:15" ht="31.5" x14ac:dyDescent="0.2">
      <c r="A21" s="63"/>
      <c r="B21" s="52"/>
      <c r="C21" s="14" t="s">
        <v>23</v>
      </c>
      <c r="D21" s="15">
        <f>E21+F21+G21+H21+I21+J21+K21+L21+M21+N21+O21</f>
        <v>8599217.4399999995</v>
      </c>
      <c r="E21" s="15">
        <f t="shared" ref="E21:O21" si="13">E30+E260</f>
        <v>290106.7</v>
      </c>
      <c r="F21" s="15">
        <f t="shared" si="13"/>
        <v>320678.94</v>
      </c>
      <c r="G21" s="15">
        <f t="shared" si="13"/>
        <v>342311</v>
      </c>
      <c r="H21" s="15">
        <f t="shared" si="13"/>
        <v>304123.2</v>
      </c>
      <c r="I21" s="15">
        <f t="shared" si="13"/>
        <v>445203</v>
      </c>
      <c r="J21" s="15">
        <f t="shared" si="13"/>
        <v>1514103.2999999998</v>
      </c>
      <c r="K21" s="15">
        <f t="shared" si="13"/>
        <v>1129118</v>
      </c>
      <c r="L21" s="15">
        <f t="shared" si="13"/>
        <v>1499419.5</v>
      </c>
      <c r="M21" s="15">
        <f t="shared" si="13"/>
        <v>1549709.8</v>
      </c>
      <c r="N21" s="15">
        <f t="shared" si="13"/>
        <v>774345.79999999993</v>
      </c>
      <c r="O21" s="15">
        <f t="shared" si="13"/>
        <v>430098.2</v>
      </c>
    </row>
    <row r="22" spans="1:15" ht="54.75" customHeight="1" x14ac:dyDescent="0.2">
      <c r="A22" s="63"/>
      <c r="B22" s="52"/>
      <c r="C22" s="12" t="s">
        <v>25</v>
      </c>
      <c r="D22" s="15">
        <f t="shared" si="11"/>
        <v>31785.5</v>
      </c>
      <c r="E22" s="15">
        <f t="shared" ref="E22:O22" si="14">E31+E261</f>
        <v>31785.5</v>
      </c>
      <c r="F22" s="15">
        <f t="shared" si="14"/>
        <v>0</v>
      </c>
      <c r="G22" s="15">
        <f t="shared" si="14"/>
        <v>0</v>
      </c>
      <c r="H22" s="15">
        <f t="shared" si="14"/>
        <v>0</v>
      </c>
      <c r="I22" s="15">
        <f t="shared" si="14"/>
        <v>0</v>
      </c>
      <c r="J22" s="15">
        <f t="shared" si="14"/>
        <v>0</v>
      </c>
      <c r="K22" s="15">
        <f t="shared" si="14"/>
        <v>0</v>
      </c>
      <c r="L22" s="15">
        <f t="shared" si="14"/>
        <v>0</v>
      </c>
      <c r="M22" s="15">
        <f t="shared" si="14"/>
        <v>0</v>
      </c>
      <c r="N22" s="15">
        <f t="shared" si="14"/>
        <v>0</v>
      </c>
      <c r="O22" s="15">
        <f t="shared" si="14"/>
        <v>0</v>
      </c>
    </row>
    <row r="23" spans="1:15" ht="54.75" customHeight="1" x14ac:dyDescent="0.2">
      <c r="A23" s="63"/>
      <c r="B23" s="52"/>
      <c r="C23" s="16" t="s">
        <v>142</v>
      </c>
      <c r="D23" s="15">
        <f>D32</f>
        <v>0</v>
      </c>
      <c r="E23" s="15">
        <f t="shared" ref="E23:O23" si="15">E32</f>
        <v>0</v>
      </c>
      <c r="F23" s="15">
        <f t="shared" si="15"/>
        <v>0</v>
      </c>
      <c r="G23" s="15">
        <f t="shared" si="15"/>
        <v>0</v>
      </c>
      <c r="H23" s="15">
        <f t="shared" si="15"/>
        <v>0</v>
      </c>
      <c r="I23" s="15">
        <f t="shared" si="15"/>
        <v>0</v>
      </c>
      <c r="J23" s="15">
        <f t="shared" si="15"/>
        <v>0</v>
      </c>
      <c r="K23" s="15">
        <f t="shared" si="15"/>
        <v>0</v>
      </c>
      <c r="L23" s="15">
        <f t="shared" si="15"/>
        <v>0</v>
      </c>
      <c r="M23" s="15">
        <f t="shared" si="15"/>
        <v>35791.300000000003</v>
      </c>
      <c r="N23" s="15">
        <f t="shared" si="15"/>
        <v>0</v>
      </c>
      <c r="O23" s="15">
        <f t="shared" si="15"/>
        <v>0</v>
      </c>
    </row>
    <row r="24" spans="1:15" ht="31.5" x14ac:dyDescent="0.2">
      <c r="A24" s="63"/>
      <c r="B24" s="52"/>
      <c r="C24" s="14" t="s">
        <v>24</v>
      </c>
      <c r="D24" s="15">
        <f t="shared" si="11"/>
        <v>2754386.4000000004</v>
      </c>
      <c r="E24" s="15">
        <f t="shared" ref="E24:O24" si="16">E33+E262</f>
        <v>355126.90000000008</v>
      </c>
      <c r="F24" s="15">
        <f t="shared" si="16"/>
        <v>340280</v>
      </c>
      <c r="G24" s="15">
        <f t="shared" si="16"/>
        <v>368395.69999999995</v>
      </c>
      <c r="H24" s="15">
        <f t="shared" si="16"/>
        <v>364909.89999999997</v>
      </c>
      <c r="I24" s="15">
        <f t="shared" si="16"/>
        <v>204071.70000000004</v>
      </c>
      <c r="J24" s="15">
        <f t="shared" si="16"/>
        <v>245182.39999999994</v>
      </c>
      <c r="K24" s="15">
        <f t="shared" si="16"/>
        <v>305643.00000000006</v>
      </c>
      <c r="L24" s="15">
        <f t="shared" si="16"/>
        <v>303227.30000000005</v>
      </c>
      <c r="M24" s="15">
        <f t="shared" si="16"/>
        <v>131046.80000000002</v>
      </c>
      <c r="N24" s="15">
        <f t="shared" si="16"/>
        <v>97946.599999999991</v>
      </c>
      <c r="O24" s="15">
        <f t="shared" si="16"/>
        <v>38556.1</v>
      </c>
    </row>
    <row r="25" spans="1:15" ht="54" customHeight="1" x14ac:dyDescent="0.2">
      <c r="A25" s="63"/>
      <c r="B25" s="52"/>
      <c r="C25" s="12" t="s">
        <v>25</v>
      </c>
      <c r="D25" s="15">
        <f t="shared" si="11"/>
        <v>23622.04</v>
      </c>
      <c r="E25" s="15">
        <f t="shared" ref="E25:O25" si="17">E34+E263</f>
        <v>2636.2400000000002</v>
      </c>
      <c r="F25" s="15">
        <f t="shared" si="17"/>
        <v>17132.8</v>
      </c>
      <c r="G25" s="15">
        <f t="shared" si="17"/>
        <v>2099.7999999999997</v>
      </c>
      <c r="H25" s="15">
        <f t="shared" si="17"/>
        <v>1753.2</v>
      </c>
      <c r="I25" s="15">
        <f t="shared" si="17"/>
        <v>0</v>
      </c>
      <c r="J25" s="15">
        <f t="shared" si="17"/>
        <v>0</v>
      </c>
      <c r="K25" s="15">
        <f t="shared" si="17"/>
        <v>0</v>
      </c>
      <c r="L25" s="15">
        <f t="shared" si="17"/>
        <v>0</v>
      </c>
      <c r="M25" s="15">
        <f t="shared" si="17"/>
        <v>0</v>
      </c>
      <c r="N25" s="15">
        <f t="shared" si="17"/>
        <v>0</v>
      </c>
      <c r="O25" s="15">
        <f t="shared" si="17"/>
        <v>0</v>
      </c>
    </row>
    <row r="26" spans="1:15" ht="54" customHeight="1" x14ac:dyDescent="0.2">
      <c r="A26" s="63"/>
      <c r="B26" s="52"/>
      <c r="C26" s="16" t="s">
        <v>71</v>
      </c>
      <c r="D26" s="15">
        <f>D35</f>
        <v>0</v>
      </c>
      <c r="E26" s="15">
        <f t="shared" ref="E26:O26" si="18">E35</f>
        <v>0</v>
      </c>
      <c r="F26" s="15">
        <f t="shared" si="18"/>
        <v>0</v>
      </c>
      <c r="G26" s="15">
        <f t="shared" si="18"/>
        <v>0</v>
      </c>
      <c r="H26" s="15">
        <f t="shared" si="18"/>
        <v>0</v>
      </c>
      <c r="I26" s="15">
        <f t="shared" si="18"/>
        <v>0</v>
      </c>
      <c r="J26" s="15">
        <f t="shared" si="18"/>
        <v>0</v>
      </c>
      <c r="K26" s="15">
        <f t="shared" si="18"/>
        <v>0</v>
      </c>
      <c r="L26" s="15">
        <f t="shared" si="18"/>
        <v>0</v>
      </c>
      <c r="M26" s="15">
        <f t="shared" si="18"/>
        <v>2284.5</v>
      </c>
      <c r="N26" s="15">
        <f t="shared" si="18"/>
        <v>0</v>
      </c>
      <c r="O26" s="15">
        <f t="shared" si="18"/>
        <v>0</v>
      </c>
    </row>
    <row r="27" spans="1:15" ht="19.5" customHeight="1" x14ac:dyDescent="0.2">
      <c r="A27" s="63"/>
      <c r="B27" s="52"/>
      <c r="C27" s="14" t="s">
        <v>4</v>
      </c>
      <c r="D27" s="15">
        <f>E27+F27+G27+H27+I27+J27+K27</f>
        <v>0</v>
      </c>
      <c r="E27" s="15">
        <f t="shared" ref="E27:O27" si="19">E36+E264</f>
        <v>0</v>
      </c>
      <c r="F27" s="15">
        <f t="shared" si="19"/>
        <v>0</v>
      </c>
      <c r="G27" s="15">
        <f t="shared" si="19"/>
        <v>0</v>
      </c>
      <c r="H27" s="15">
        <f t="shared" si="19"/>
        <v>0</v>
      </c>
      <c r="I27" s="15">
        <f t="shared" si="19"/>
        <v>0</v>
      </c>
      <c r="J27" s="15">
        <f t="shared" si="19"/>
        <v>0</v>
      </c>
      <c r="K27" s="15">
        <f t="shared" si="19"/>
        <v>0</v>
      </c>
      <c r="L27" s="15">
        <f t="shared" si="19"/>
        <v>0</v>
      </c>
      <c r="M27" s="15">
        <f t="shared" si="19"/>
        <v>0</v>
      </c>
      <c r="N27" s="15">
        <f t="shared" si="19"/>
        <v>0</v>
      </c>
      <c r="O27" s="15">
        <f t="shared" si="19"/>
        <v>0</v>
      </c>
    </row>
    <row r="28" spans="1:15" ht="15.75" x14ac:dyDescent="0.2">
      <c r="A28" s="51" t="s">
        <v>7</v>
      </c>
      <c r="B28" s="51" t="s">
        <v>51</v>
      </c>
      <c r="C28" s="14" t="s">
        <v>92</v>
      </c>
      <c r="D28" s="15">
        <f>E28+F28+G28+H28+I28+J28+K28+L28+M28+N28+O28</f>
        <v>8244444.4399999995</v>
      </c>
      <c r="E28" s="15">
        <f t="shared" ref="E28:O28" si="20">E29+E30++E33+E36</f>
        <v>648991.20000000007</v>
      </c>
      <c r="F28" s="15">
        <f t="shared" si="20"/>
        <v>661777.24</v>
      </c>
      <c r="G28" s="15">
        <f t="shared" si="20"/>
        <v>711501</v>
      </c>
      <c r="H28" s="15">
        <f t="shared" si="20"/>
        <v>669033.1</v>
      </c>
      <c r="I28" s="15">
        <f t="shared" si="20"/>
        <v>550128.5</v>
      </c>
      <c r="J28" s="15">
        <f t="shared" si="20"/>
        <v>957744.69999999984</v>
      </c>
      <c r="K28" s="15">
        <f>K29+K30++K33+K36</f>
        <v>1211086.1000000001</v>
      </c>
      <c r="L28" s="15">
        <f t="shared" si="20"/>
        <v>1101292.9000000001</v>
      </c>
      <c r="M28" s="15">
        <f t="shared" si="20"/>
        <v>1148464.1000000001</v>
      </c>
      <c r="N28" s="15">
        <f t="shared" si="20"/>
        <v>319631.3</v>
      </c>
      <c r="O28" s="15">
        <f t="shared" si="20"/>
        <v>264794.3</v>
      </c>
    </row>
    <row r="29" spans="1:15" ht="15.75" x14ac:dyDescent="0.2">
      <c r="A29" s="51"/>
      <c r="B29" s="51"/>
      <c r="C29" s="14" t="s">
        <v>1</v>
      </c>
      <c r="D29" s="15">
        <f t="shared" ref="D29:D36" si="21">E29+F29+G29+H29+I29+J29+K29+L29+M29+N29+O29</f>
        <v>41370.199999999997</v>
      </c>
      <c r="E29" s="15">
        <f>E38+E43+E53+E58+E69+E76+E82+E89+E96+E103+E109+E115+E121+E128+E135+E140+E150+E155+E161+E169+E174+E179+E184+E189+E194</f>
        <v>3757.6</v>
      </c>
      <c r="F29" s="15">
        <f>F38+F43+F53+F58+F69+F76+F82+F89+F96+F103+F109+F115+F121+F128+F135+F140+F150+F155+F161+F169+F174+F179+F184+F189+F194</f>
        <v>818.3</v>
      </c>
      <c r="G29" s="15">
        <f>G38+G43+G53+G58+G69+G76+G82+G89+G96+G103+G109+G115+G121+G128+G135+G140+G150+G155+G161+G169+G174+G179+G184+G189+G194</f>
        <v>794.3</v>
      </c>
      <c r="H29" s="15">
        <f>H38+H43+H53+H58+H69+H76+H82+H89+H96+H103+H109+H115+H121+H128+H135+H140+H150+H155+H161+H169+H174+H179+H184+H189+H194</f>
        <v>0</v>
      </c>
      <c r="I29" s="15">
        <f>I38+I43+I53+I58+I69+I76+I82+I89+I96+I103+I109+I115+I121+I128+I135+I140+I150+I155+I161+I169+I174+I179+I184+I189+I194</f>
        <v>0</v>
      </c>
      <c r="J29" s="15">
        <f>J38+J43+J53+J58+J69+J76+J82+J89+J96+J103+J109+J115+J121+J128+J135+J140+J150+J155+J161+J169+J174+J179+J184+J189+J194+J199</f>
        <v>36000</v>
      </c>
      <c r="K29" s="15">
        <f>K38+K43+K53+K58+K69+K76+K82+K89+K96+K103+K109+K115+K121+K128+K135+K140+K150+K155+K161+K169+K174+K179+K184+K189+K194</f>
        <v>0</v>
      </c>
      <c r="L29" s="15">
        <f>L38+L43+L53+L58+L69+L76+L82+L89+L96+L103+L109+L115+L121+L128+L135+L140+L150+L155+L161+L169+L174+L179+L184+L189+L194</f>
        <v>0</v>
      </c>
      <c r="M29" s="15">
        <f>M38+M43+M53+M58+M69+M76+M82+M89+M96+M103+M109+M115+M121+M128+M135+M140+M150+M155+M161+M169+M174+M179+M184+M189+M194</f>
        <v>0</v>
      </c>
      <c r="N29" s="15">
        <f>N38+N43+N53+N58+N69+N76+N82+N89+N96+N103+N109+N115+N121+N128+N135+N140+N150+N155+N161+N169+N174+N179+N184+N189+N194</f>
        <v>0</v>
      </c>
      <c r="O29" s="15">
        <f>O38+O43+O53+O58+O69+O76+O82+O89+O96+O103+O109+O115+O121+O128+O135+O140+O150+O155+O161+O169+O174+O179+O184+O189+O194</f>
        <v>0</v>
      </c>
    </row>
    <row r="30" spans="1:15" ht="31.5" x14ac:dyDescent="0.2">
      <c r="A30" s="51"/>
      <c r="B30" s="51"/>
      <c r="C30" s="14" t="s">
        <v>23</v>
      </c>
      <c r="D30" s="15">
        <f t="shared" si="21"/>
        <v>5517788.04</v>
      </c>
      <c r="E30" s="15">
        <f>E39+E44+E54+E59+E70+E77+E83+E90+E97+E104+E110+E116+E122+E129+E136+E151+E156+E162+E170+E175+E141+E180+E49+E64+E146+E185+E190+E195</f>
        <v>290106.7</v>
      </c>
      <c r="F30" s="15">
        <f>F39+F44+F54+F59+F70+F77+F83+F90+F97+F104+F110+F116+F122+F129+F136+F151+F156+F162+F170+F175+F141+F180+F49+F64+F146+F185+F190+F195</f>
        <v>320678.94</v>
      </c>
      <c r="G30" s="15">
        <f>G39+G44+G54+G59+G70+G77+G83+G90+G97+G104+G110+G116+G122+G129+G136+G151+G156+G162+G170+G175+G141+G180+G49+G64+G146+G185+G190+G195</f>
        <v>342311</v>
      </c>
      <c r="H30" s="15">
        <f>H39+H44+H54+H59+H70+H77+H83+H90+H97+H104+H110+H116+H122+H129+H136+H151+H156+H162+H170+H175+H141+H180+H49+H64+H146+H185+H190+H195</f>
        <v>304123.2</v>
      </c>
      <c r="I30" s="15">
        <f>I39+I44+I54+I59+I70+I77+I83+I90+I97+I104+I110+I116+I122+I129+I136+I151+I156+I162+I170+I175+I141+I180+I49+I64+I146+I185+I190+I195+I215</f>
        <v>353471</v>
      </c>
      <c r="J30" s="15">
        <f>J39+J44+J54+J59+J70+J77+J83+J90+J97+J104+J110+J116+J122+J129+J136+J151+J156+J162+J170+J175+J141+J180+J49+J64+J146+J185+J190+J195+J215</f>
        <v>689569.59999999986</v>
      </c>
      <c r="K30" s="15">
        <f>K39+K44+K54+K59+K70+K77+K83+K90+K97+K104+K110+K116+K122+K129+K136+K151+K156+K162+K170+K175+K141+K180+K49+K64+K146+K185+K190+K195+K215</f>
        <v>915048.6</v>
      </c>
      <c r="L30" s="15">
        <f>L39+L44+L54+L59+L70+L77+L83+L90+L97+L104+L110+L116+L122+L129+L136+L151+L156+L162+L170+L175+L141+L180+L49+L64+L146+L185+L190+L195+L215</f>
        <v>810963.50000000012</v>
      </c>
      <c r="M30" s="15">
        <f>M39+M44+M54+M59+M70+M77+M83+M90+M97+M104+M110+M116+M122+M129+M136+M151+M156+M162+M170+M175+M141+M180+M49+M64+M146+M185+M190+M195+M253</f>
        <v>1030082.6</v>
      </c>
      <c r="N30" s="15">
        <f>N39+N44+N54+N59+N70+N77+N83+N90+N97+N104+N110+N116+N122+N129+N136+N151+N156+N162+N170+N175+N141+N180+N49+N64+N146+N185+N190+N195</f>
        <v>231334.69999999998</v>
      </c>
      <c r="O30" s="15">
        <f>O39+O44+O54+O59+O70+O77+O83+O90+O97+O104+O110+O116+O122+O129+O136+O151+O156+O162+O170+O175+O141+O180+O49+O64+O146+O185+O190+O195</f>
        <v>230098.2</v>
      </c>
    </row>
    <row r="31" spans="1:15" ht="51.75" customHeight="1" x14ac:dyDescent="0.2">
      <c r="A31" s="51"/>
      <c r="B31" s="51"/>
      <c r="C31" s="12" t="s">
        <v>25</v>
      </c>
      <c r="D31" s="15">
        <f t="shared" si="21"/>
        <v>31785.5</v>
      </c>
      <c r="E31" s="13">
        <f t="shared" ref="E31:O31" si="22">E71+E91+E98</f>
        <v>31785.5</v>
      </c>
      <c r="F31" s="13">
        <f t="shared" si="22"/>
        <v>0</v>
      </c>
      <c r="G31" s="13">
        <f t="shared" si="22"/>
        <v>0</v>
      </c>
      <c r="H31" s="13">
        <f t="shared" si="22"/>
        <v>0</v>
      </c>
      <c r="I31" s="13">
        <f t="shared" si="22"/>
        <v>0</v>
      </c>
      <c r="J31" s="13">
        <f t="shared" si="22"/>
        <v>0</v>
      </c>
      <c r="K31" s="13">
        <f t="shared" si="22"/>
        <v>0</v>
      </c>
      <c r="L31" s="13">
        <f t="shared" si="22"/>
        <v>0</v>
      </c>
      <c r="M31" s="13">
        <f t="shared" si="22"/>
        <v>0</v>
      </c>
      <c r="N31" s="13">
        <f t="shared" si="22"/>
        <v>0</v>
      </c>
      <c r="O31" s="13">
        <f t="shared" si="22"/>
        <v>0</v>
      </c>
    </row>
    <row r="32" spans="1:15" ht="51.75" customHeight="1" x14ac:dyDescent="0.2">
      <c r="A32" s="51"/>
      <c r="B32" s="51"/>
      <c r="C32" s="16" t="s">
        <v>142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3">
        <f>M163</f>
        <v>35791.300000000003</v>
      </c>
      <c r="N32" s="13">
        <f t="shared" ref="N32:O32" si="23">N163</f>
        <v>0</v>
      </c>
      <c r="O32" s="13">
        <f t="shared" si="23"/>
        <v>0</v>
      </c>
    </row>
    <row r="33" spans="1:18" ht="31.5" x14ac:dyDescent="0.2">
      <c r="A33" s="51"/>
      <c r="B33" s="51"/>
      <c r="C33" s="14" t="s">
        <v>24</v>
      </c>
      <c r="D33" s="15">
        <f>E33+F33+G33+H33+I33+J33+K33+L33+M33+N33+O33</f>
        <v>2685286.2</v>
      </c>
      <c r="E33" s="15">
        <f>E40+E45+E50+E55+E60+E65+E72+E78+E84+E92+E99+E105+E111+E117+E123+E130+E137+E142+E147+E152+E157+E164+E171+E176+E181+E186+E191+E196</f>
        <v>355126.90000000008</v>
      </c>
      <c r="F33" s="15">
        <f>F40+F45+F50+F55+F60+F65+F72+F78+F84+F92+F99+F105+F111+F117+F123+F130+F137+F142+F147+F152+F157+F164+F171+F176+F181+F186+F191+F196</f>
        <v>340280</v>
      </c>
      <c r="G33" s="15">
        <f>G40+G45+G50+G55+G60+G65+G72+G78+G84+G92+G99+G105+G111+G117+G123+G130+G137+G142+G147+G152+G157+G164+G171+G176+G181+G186+G191+G196</f>
        <v>368395.69999999995</v>
      </c>
      <c r="H33" s="15">
        <f>H40+H45+H50+H55+H60+H65+H72+H78+H84+H92+H99+H105+H111+H117+H123+H130+H137+H142+H147+H152+H157+H164+H171+H176+H181+H186+H191+H196</f>
        <v>364909.89999999997</v>
      </c>
      <c r="I33" s="15">
        <f>I40+I45+I50+I55+I60+I65+I72+I78+I84+I92+I99+I105+I111+I117+I123+I130+I137+I142+I147+I152+I157+I164+I171+I176+I181+I186+I191+I196+I216</f>
        <v>196657.50000000003</v>
      </c>
      <c r="J33" s="15">
        <f>J40+J45+J50+J55+J60+J65+J72+J78+J84+J92+J99+J105+J111+J117+J123+J130+J137+J142+J147+J152+J157+J164+J171+J176+J181+J186+J191+J196+J201+J206+J216</f>
        <v>232175.09999999995</v>
      </c>
      <c r="K33" s="15">
        <f>K40+K45+K50+K55+K60+K65+K72+K78+K84+K92+K99+K105+K111+K117+K123+K130+K137+K142+K147+K152+K157+K164+K171+K176+K181+K186+K191+K196+K211+K216+K221+K226</f>
        <v>296037.50000000006</v>
      </c>
      <c r="L33" s="15">
        <f>L40+L45+L50+L55+L60+L65+L72+L78+L84+L92+L99+L105+L111+L117+L123+L130+L137+L142+L147+L152+L157+L164+L171+L176+L181+L186+L191+L196+L211+L216+L221+L226+L231+L236+L241+L246+L251</f>
        <v>290329.40000000002</v>
      </c>
      <c r="M33" s="15">
        <f t="shared" ref="M33:O33" si="24">M40+M45+M50+M55+M60+M65+M72+M78+M84+M92+M99+M105+M111+M117+M123+M130+M137+M142+M147+M152+M157+M164+M171+M176+M181+M186+M191+M196+M211+M216+M221+M226+M231+M236+M241+M246+M251</f>
        <v>118381.50000000001</v>
      </c>
      <c r="N33" s="15">
        <f>N40+N45+N50+N55+N60+N65+N72+N78+N84+N92+N99+N105+N111+N117+N123+N130+N137+N142+N147+N152+N157+N164+N171+N176+N181+N186+N191+N196+N211+N216+N221+N226+N231+N236+N241+N246+N251</f>
        <v>88296.599999999991</v>
      </c>
      <c r="O33" s="15">
        <f t="shared" si="24"/>
        <v>34696.1</v>
      </c>
    </row>
    <row r="34" spans="1:18" ht="46.5" customHeight="1" x14ac:dyDescent="0.2">
      <c r="A34" s="51"/>
      <c r="B34" s="51"/>
      <c r="C34" s="12" t="s">
        <v>25</v>
      </c>
      <c r="D34" s="15">
        <f t="shared" si="21"/>
        <v>23622.04</v>
      </c>
      <c r="E34" s="13">
        <f t="shared" ref="E34:O34" si="25">E73+E85+E93+E100+E106+E112+E125+E132+E165</f>
        <v>2636.2400000000002</v>
      </c>
      <c r="F34" s="13">
        <f t="shared" si="25"/>
        <v>17132.8</v>
      </c>
      <c r="G34" s="13">
        <f t="shared" si="25"/>
        <v>2099.7999999999997</v>
      </c>
      <c r="H34" s="13">
        <f t="shared" si="25"/>
        <v>1753.2</v>
      </c>
      <c r="I34" s="13">
        <f t="shared" si="25"/>
        <v>0</v>
      </c>
      <c r="J34" s="13">
        <f t="shared" si="25"/>
        <v>0</v>
      </c>
      <c r="K34" s="13">
        <f t="shared" si="25"/>
        <v>0</v>
      </c>
      <c r="L34" s="13">
        <f t="shared" si="25"/>
        <v>0</v>
      </c>
      <c r="M34" s="13">
        <f t="shared" si="25"/>
        <v>0</v>
      </c>
      <c r="N34" s="13">
        <f t="shared" si="25"/>
        <v>0</v>
      </c>
      <c r="O34" s="13">
        <f t="shared" si="25"/>
        <v>0</v>
      </c>
    </row>
    <row r="35" spans="1:18" ht="46.5" customHeight="1" x14ac:dyDescent="0.2">
      <c r="A35" s="51"/>
      <c r="B35" s="51"/>
      <c r="C35" s="16" t="s">
        <v>71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3">
        <f>M166</f>
        <v>2284.5</v>
      </c>
      <c r="N35" s="13">
        <f t="shared" ref="N35:O35" si="26">N166</f>
        <v>0</v>
      </c>
      <c r="O35" s="13">
        <f t="shared" si="26"/>
        <v>0</v>
      </c>
    </row>
    <row r="36" spans="1:18" ht="24" customHeight="1" x14ac:dyDescent="0.2">
      <c r="A36" s="51"/>
      <c r="B36" s="51"/>
      <c r="C36" s="14" t="s">
        <v>4</v>
      </c>
      <c r="D36" s="15">
        <f t="shared" si="21"/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</row>
    <row r="37" spans="1:18" ht="19.5" customHeight="1" x14ac:dyDescent="0.2">
      <c r="A37" s="51" t="s">
        <v>26</v>
      </c>
      <c r="B37" s="51" t="s">
        <v>52</v>
      </c>
      <c r="C37" s="14" t="s">
        <v>92</v>
      </c>
      <c r="D37" s="15">
        <f>D38+D39+D40+D41</f>
        <v>226467.9</v>
      </c>
      <c r="E37" s="15">
        <f>SUM(E38:E41)</f>
        <v>226467.9</v>
      </c>
      <c r="F37" s="15">
        <f t="shared" ref="F37:O37" si="27">SUM(F38:F41)</f>
        <v>0</v>
      </c>
      <c r="G37" s="15">
        <f t="shared" si="27"/>
        <v>0</v>
      </c>
      <c r="H37" s="15">
        <f t="shared" si="27"/>
        <v>0</v>
      </c>
      <c r="I37" s="15">
        <f t="shared" si="27"/>
        <v>0</v>
      </c>
      <c r="J37" s="15">
        <f t="shared" si="27"/>
        <v>0</v>
      </c>
      <c r="K37" s="15">
        <f t="shared" si="27"/>
        <v>0</v>
      </c>
      <c r="L37" s="15">
        <f t="shared" si="27"/>
        <v>0</v>
      </c>
      <c r="M37" s="15">
        <f t="shared" si="27"/>
        <v>0</v>
      </c>
      <c r="N37" s="15">
        <f t="shared" si="27"/>
        <v>0</v>
      </c>
      <c r="O37" s="15">
        <f t="shared" si="27"/>
        <v>0</v>
      </c>
    </row>
    <row r="38" spans="1:18" ht="19.5" customHeight="1" x14ac:dyDescent="0.2">
      <c r="A38" s="54"/>
      <c r="B38" s="51"/>
      <c r="C38" s="14" t="s">
        <v>1</v>
      </c>
      <c r="D38" s="15">
        <f>E38+F38+G38+H38+I38+J38+K38+L38+M38+N38+O38</f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</row>
    <row r="39" spans="1:18" ht="19.5" customHeight="1" x14ac:dyDescent="0.2">
      <c r="A39" s="54"/>
      <c r="B39" s="51"/>
      <c r="C39" s="14" t="s">
        <v>2</v>
      </c>
      <c r="D39" s="15">
        <f>E39+F39+G39+H39+I39+J39+K39+L39+M39+N39+O39</f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</row>
    <row r="40" spans="1:18" ht="19.5" customHeight="1" x14ac:dyDescent="0.2">
      <c r="A40" s="54"/>
      <c r="B40" s="51"/>
      <c r="C40" s="14" t="s">
        <v>3</v>
      </c>
      <c r="D40" s="15">
        <f>E40+F40+G40+H40+I40+J40+K40+L40+M40+N40+O40</f>
        <v>226467.9</v>
      </c>
      <c r="E40" s="15">
        <v>226467.9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</row>
    <row r="41" spans="1:18" ht="19.5" customHeight="1" x14ac:dyDescent="0.2">
      <c r="A41" s="54"/>
      <c r="B41" s="51"/>
      <c r="C41" s="14" t="s">
        <v>4</v>
      </c>
      <c r="D41" s="15">
        <f>E41+F41+G41+H41+I41+J41+K41+L41+M41+N41+O41</f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</row>
    <row r="42" spans="1:18" ht="19.5" customHeight="1" x14ac:dyDescent="0.2">
      <c r="A42" s="51" t="s">
        <v>27</v>
      </c>
      <c r="B42" s="42" t="s">
        <v>8</v>
      </c>
      <c r="C42" s="14" t="s">
        <v>92</v>
      </c>
      <c r="D42" s="15">
        <f>D43+D44+D45+D46</f>
        <v>1429469.4999999998</v>
      </c>
      <c r="E42" s="15">
        <f t="shared" ref="E42:O42" si="28">SUM(E43:E46)</f>
        <v>45288</v>
      </c>
      <c r="F42" s="15">
        <f t="shared" si="28"/>
        <v>227495.3</v>
      </c>
      <c r="G42" s="15">
        <f t="shared" si="28"/>
        <v>251456.3</v>
      </c>
      <c r="H42" s="15">
        <f t="shared" si="28"/>
        <v>258156.3</v>
      </c>
      <c r="I42" s="15">
        <f t="shared" si="28"/>
        <v>96899.9</v>
      </c>
      <c r="J42" s="15">
        <f t="shared" si="28"/>
        <v>156910.29999999999</v>
      </c>
      <c r="K42" s="15">
        <f t="shared" si="28"/>
        <v>164434.20000000001</v>
      </c>
      <c r="L42" s="15">
        <f t="shared" si="28"/>
        <v>169575.7</v>
      </c>
      <c r="M42" s="15">
        <f t="shared" si="28"/>
        <v>27540.600000000009</v>
      </c>
      <c r="N42" s="15">
        <f t="shared" si="28"/>
        <v>31712.899999999994</v>
      </c>
      <c r="O42" s="15">
        <f t="shared" si="28"/>
        <v>0</v>
      </c>
    </row>
    <row r="43" spans="1:18" ht="19.5" customHeight="1" x14ac:dyDescent="0.2">
      <c r="A43" s="54"/>
      <c r="B43" s="42"/>
      <c r="C43" s="14" t="s">
        <v>1</v>
      </c>
      <c r="D43" s="15">
        <f>E43+F43+G43+H43+I43+J43+K43+L43+M43+N43+O43</f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</row>
    <row r="44" spans="1:18" ht="19.5" customHeight="1" x14ac:dyDescent="0.2">
      <c r="A44" s="54"/>
      <c r="B44" s="42"/>
      <c r="C44" s="14" t="s">
        <v>2</v>
      </c>
      <c r="D44" s="15">
        <f>E44+F44+G44+H44+I44+J44+K44+L44+M44+N44+O44</f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</row>
    <row r="45" spans="1:18" ht="19.5" customHeight="1" x14ac:dyDescent="0.2">
      <c r="A45" s="54"/>
      <c r="B45" s="42"/>
      <c r="C45" s="14" t="s">
        <v>3</v>
      </c>
      <c r="D45" s="15">
        <f>E45+F45+G45+H45+I45+J45+K45+L45+M45+N45+O45</f>
        <v>1429469.4999999998</v>
      </c>
      <c r="E45" s="15">
        <v>45288</v>
      </c>
      <c r="F45" s="15">
        <v>227495.3</v>
      </c>
      <c r="G45" s="15">
        <v>251456.3</v>
      </c>
      <c r="H45" s="15">
        <v>258156.3</v>
      </c>
      <c r="I45" s="15">
        <f>84107.8+2081.3+7633.4+3077.4</f>
        <v>96899.9</v>
      </c>
      <c r="J45" s="18">
        <f>98066-70000-1700+50044.3+20000+9000+20000+31500</f>
        <v>156910.29999999999</v>
      </c>
      <c r="K45" s="18">
        <f>82071.9+1000+1476.7-110.9+20814+21432.2+37750.3</f>
        <v>164434.20000000001</v>
      </c>
      <c r="L45" s="15">
        <f>104853.6+0.2+400+184.8+6000+35000+199.6+15302+7635.5</f>
        <v>169575.7</v>
      </c>
      <c r="M45" s="15">
        <f>104869+15-100801.9+421.8+494.6+991.7+0.1+1900.6+10000+9649.7</f>
        <v>27540.600000000009</v>
      </c>
      <c r="N45" s="15">
        <f>104869+18.5-73174.6</f>
        <v>31712.899999999994</v>
      </c>
      <c r="O45" s="15">
        <f>343655.2-343655.2</f>
        <v>0</v>
      </c>
      <c r="Q45" s="6">
        <v>1</v>
      </c>
      <c r="R45" s="11"/>
    </row>
    <row r="46" spans="1:18" ht="19.5" customHeight="1" x14ac:dyDescent="0.2">
      <c r="A46" s="54"/>
      <c r="B46" s="42"/>
      <c r="C46" s="14" t="s">
        <v>4</v>
      </c>
      <c r="D46" s="15">
        <f>E46+F46+G46+H46+I46+J46</f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</row>
    <row r="47" spans="1:18" ht="33" customHeight="1" x14ac:dyDescent="0.2">
      <c r="A47" s="51" t="s">
        <v>28</v>
      </c>
      <c r="B47" s="42" t="s">
        <v>77</v>
      </c>
      <c r="C47" s="14" t="s">
        <v>92</v>
      </c>
      <c r="D47" s="15">
        <f>D48+D49+D50+D51</f>
        <v>826695.09999999986</v>
      </c>
      <c r="E47" s="15">
        <f t="shared" ref="E47:O47" si="29">SUM(E48:E51)</f>
        <v>0</v>
      </c>
      <c r="F47" s="15">
        <f t="shared" si="29"/>
        <v>0</v>
      </c>
      <c r="G47" s="15">
        <f t="shared" si="29"/>
        <v>0</v>
      </c>
      <c r="H47" s="15">
        <f t="shared" si="29"/>
        <v>0</v>
      </c>
      <c r="I47" s="15">
        <f t="shared" si="29"/>
        <v>151508</v>
      </c>
      <c r="J47" s="15">
        <f t="shared" si="29"/>
        <v>61051.599999999991</v>
      </c>
      <c r="K47" s="15">
        <f>SUM(K48:K51)</f>
        <v>126445.2</v>
      </c>
      <c r="L47" s="15">
        <f t="shared" si="29"/>
        <v>126686.5</v>
      </c>
      <c r="M47" s="15">
        <f t="shared" si="29"/>
        <v>139355.1</v>
      </c>
      <c r="N47" s="15">
        <f t="shared" si="29"/>
        <v>69477.599999999991</v>
      </c>
      <c r="O47" s="15">
        <f t="shared" si="29"/>
        <v>152171.09999999998</v>
      </c>
    </row>
    <row r="48" spans="1:18" ht="33" customHeight="1" x14ac:dyDescent="0.2">
      <c r="A48" s="54"/>
      <c r="B48" s="42"/>
      <c r="C48" s="14" t="s">
        <v>1</v>
      </c>
      <c r="D48" s="15">
        <f>E48+F48+G48+H48+I48+J48+K48+L48+M48+N48+O48</f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</row>
    <row r="49" spans="1:18" ht="27.75" customHeight="1" x14ac:dyDescent="0.2">
      <c r="A49" s="54"/>
      <c r="B49" s="42"/>
      <c r="C49" s="14" t="s">
        <v>2</v>
      </c>
      <c r="D49" s="15">
        <f>E49+F49+G49+H49+I49+J49+K49+L49+M49+N49+O49</f>
        <v>789846.89999999991</v>
      </c>
      <c r="E49" s="15">
        <v>0</v>
      </c>
      <c r="F49" s="15">
        <v>0</v>
      </c>
      <c r="G49" s="15">
        <v>0</v>
      </c>
      <c r="H49" s="15">
        <v>0</v>
      </c>
      <c r="I49" s="15">
        <f>150731.3+776.7</f>
        <v>151508</v>
      </c>
      <c r="J49" s="18">
        <f>111095.9-50044.3</f>
        <v>61051.599999999991</v>
      </c>
      <c r="K49" s="18">
        <v>118858.5</v>
      </c>
      <c r="L49" s="18">
        <f>119088.7-3.4</f>
        <v>119085.3</v>
      </c>
      <c r="M49" s="18">
        <f>118858.5-235.8+12371.1</f>
        <v>130993.8</v>
      </c>
      <c r="N49" s="18">
        <f>118858.5-289.3-53260.3</f>
        <v>65308.899999999994</v>
      </c>
      <c r="O49" s="18">
        <v>143040.79999999999</v>
      </c>
      <c r="P49" s="11"/>
    </row>
    <row r="50" spans="1:18" ht="15.75" x14ac:dyDescent="0.2">
      <c r="A50" s="54"/>
      <c r="B50" s="42"/>
      <c r="C50" s="14" t="s">
        <v>3</v>
      </c>
      <c r="D50" s="15">
        <f>E50+F50+G50+H50+I50+J50+K50+L50+M50+N50+O50</f>
        <v>36848.199999999997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7586.7</v>
      </c>
      <c r="L50" s="15">
        <f>7601.4-0.2</f>
        <v>7601.2</v>
      </c>
      <c r="M50" s="15">
        <f>7585.7+1-15+789.6</f>
        <v>8361.2999999999993</v>
      </c>
      <c r="N50" s="15">
        <f>7585.7+1-18.5-3399.5</f>
        <v>4168.7</v>
      </c>
      <c r="O50" s="15">
        <v>9130.2999999999993</v>
      </c>
    </row>
    <row r="51" spans="1:18" ht="20.25" customHeight="1" x14ac:dyDescent="0.2">
      <c r="A51" s="54"/>
      <c r="B51" s="42"/>
      <c r="C51" s="14" t="s">
        <v>4</v>
      </c>
      <c r="D51" s="15">
        <f>E51+F51+G51+H51+I51+J51+K51+L51+M51+N51+O51</f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</row>
    <row r="52" spans="1:18" ht="21" customHeight="1" x14ac:dyDescent="0.2">
      <c r="A52" s="51" t="s">
        <v>29</v>
      </c>
      <c r="B52" s="42" t="s">
        <v>53</v>
      </c>
      <c r="C52" s="19" t="s">
        <v>92</v>
      </c>
      <c r="D52" s="20">
        <f>D53+D54+D55+D56</f>
        <v>34506.6</v>
      </c>
      <c r="E52" s="20">
        <f>E53+E54+E55+E56</f>
        <v>34506.6</v>
      </c>
      <c r="F52" s="20">
        <f t="shared" ref="F52:O52" si="30">F53+F54+F55+F56</f>
        <v>0</v>
      </c>
      <c r="G52" s="20">
        <f t="shared" si="30"/>
        <v>0</v>
      </c>
      <c r="H52" s="20">
        <f t="shared" si="30"/>
        <v>0</v>
      </c>
      <c r="I52" s="20">
        <f t="shared" si="30"/>
        <v>0</v>
      </c>
      <c r="J52" s="20">
        <f t="shared" si="30"/>
        <v>0</v>
      </c>
      <c r="K52" s="20">
        <f t="shared" si="30"/>
        <v>0</v>
      </c>
      <c r="L52" s="20">
        <f t="shared" si="30"/>
        <v>0</v>
      </c>
      <c r="M52" s="20">
        <f t="shared" si="30"/>
        <v>0</v>
      </c>
      <c r="N52" s="20">
        <f t="shared" si="30"/>
        <v>0</v>
      </c>
      <c r="O52" s="20">
        <f t="shared" si="30"/>
        <v>0</v>
      </c>
    </row>
    <row r="53" spans="1:18" ht="21" customHeight="1" x14ac:dyDescent="0.2">
      <c r="A53" s="54"/>
      <c r="B53" s="42"/>
      <c r="C53" s="14" t="s">
        <v>1</v>
      </c>
      <c r="D53" s="20">
        <f>E53+F53+G53+H53+I53+J53+K53+L53+M53+N53+O53</f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</row>
    <row r="54" spans="1:18" ht="21" customHeight="1" x14ac:dyDescent="0.2">
      <c r="A54" s="54"/>
      <c r="B54" s="42"/>
      <c r="C54" s="14" t="s">
        <v>2</v>
      </c>
      <c r="D54" s="20">
        <f>E54+F54+G54+H54+I54+J54</f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</row>
    <row r="55" spans="1:18" ht="21" customHeight="1" x14ac:dyDescent="0.2">
      <c r="A55" s="54"/>
      <c r="B55" s="42"/>
      <c r="C55" s="14" t="s">
        <v>3</v>
      </c>
      <c r="D55" s="20">
        <f>E55+F55+G55+H55+I55+J55+K55</f>
        <v>34506.6</v>
      </c>
      <c r="E55" s="15">
        <v>34506.6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</row>
    <row r="56" spans="1:18" ht="21" customHeight="1" x14ac:dyDescent="0.2">
      <c r="A56" s="54"/>
      <c r="B56" s="42"/>
      <c r="C56" s="14" t="s">
        <v>4</v>
      </c>
      <c r="D56" s="20">
        <f>E56+F56+G56+H56+I56+J56</f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</row>
    <row r="57" spans="1:18" ht="21" customHeight="1" x14ac:dyDescent="0.25">
      <c r="A57" s="51" t="s">
        <v>30</v>
      </c>
      <c r="B57" s="42" t="s">
        <v>103</v>
      </c>
      <c r="C57" s="21" t="s">
        <v>92</v>
      </c>
      <c r="D57" s="20">
        <f>D58+D59+D60+D61</f>
        <v>372008.5</v>
      </c>
      <c r="E57" s="20">
        <f>E58+E59+E60+E61</f>
        <v>1830.8</v>
      </c>
      <c r="F57" s="20">
        <f t="shared" ref="F57:O57" si="31">F58+F59+F60+F61</f>
        <v>50844.5</v>
      </c>
      <c r="G57" s="20">
        <f>G58+G59+G60+G61</f>
        <v>37890.699999999997</v>
      </c>
      <c r="H57" s="20">
        <f t="shared" si="31"/>
        <v>37516.300000000003</v>
      </c>
      <c r="I57" s="20">
        <f t="shared" si="31"/>
        <v>21897.599999999999</v>
      </c>
      <c r="J57" s="20">
        <f t="shared" si="31"/>
        <v>19163.400000000001</v>
      </c>
      <c r="K57" s="20">
        <f t="shared" si="31"/>
        <v>58056</v>
      </c>
      <c r="L57" s="20">
        <f t="shared" si="31"/>
        <v>60934.7</v>
      </c>
      <c r="M57" s="20">
        <f t="shared" si="31"/>
        <v>44193.3</v>
      </c>
      <c r="N57" s="20">
        <f t="shared" si="31"/>
        <v>34105.600000000006</v>
      </c>
      <c r="O57" s="20">
        <f t="shared" si="31"/>
        <v>5575.6000000000058</v>
      </c>
      <c r="R57" s="11"/>
    </row>
    <row r="58" spans="1:18" ht="21" customHeight="1" x14ac:dyDescent="0.2">
      <c r="A58" s="54"/>
      <c r="B58" s="42"/>
      <c r="C58" s="14" t="s">
        <v>1</v>
      </c>
      <c r="D58" s="20">
        <f>E58+F58+G58+H58+I58+J58+K58+L58+M58+N58+O58</f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</row>
    <row r="59" spans="1:18" ht="21" customHeight="1" x14ac:dyDescent="0.2">
      <c r="A59" s="54"/>
      <c r="B59" s="42"/>
      <c r="C59" s="14" t="s">
        <v>2</v>
      </c>
      <c r="D59" s="20">
        <f>E59+F59+G59+H59+I59+J59+K59+L59+M59+N59+O59</f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</row>
    <row r="60" spans="1:18" ht="21" customHeight="1" x14ac:dyDescent="0.2">
      <c r="A60" s="54"/>
      <c r="B60" s="42"/>
      <c r="C60" s="14" t="s">
        <v>3</v>
      </c>
      <c r="D60" s="20">
        <f>E60+F60+G60+H60+I60+J60+K60+L60+M60+N60+O60</f>
        <v>372008.5</v>
      </c>
      <c r="E60" s="15">
        <v>1830.8</v>
      </c>
      <c r="F60" s="15">
        <v>50844.5</v>
      </c>
      <c r="G60" s="15">
        <v>37890.699999999997</v>
      </c>
      <c r="H60" s="15">
        <v>37516.300000000003</v>
      </c>
      <c r="I60" s="15">
        <f>20927.8+969.8</f>
        <v>21897.599999999999</v>
      </c>
      <c r="J60" s="15">
        <f>16425.4+92.1+2645.9</f>
        <v>19163.400000000001</v>
      </c>
      <c r="K60" s="15">
        <f>32451.6+7655.4+10704+7245</f>
        <v>58056</v>
      </c>
      <c r="L60" s="15">
        <f>40107+1002.3+301.7+10000-0.1+9523.8</f>
        <v>60934.7</v>
      </c>
      <c r="M60" s="15">
        <f>40107-11176+79.4+11.3+171.6+15000</f>
        <v>44193.3</v>
      </c>
      <c r="N60" s="15">
        <f>40107-6014.2+12.8</f>
        <v>34105.600000000006</v>
      </c>
      <c r="O60" s="15">
        <f>83270-77694.4</f>
        <v>5575.6000000000058</v>
      </c>
    </row>
    <row r="61" spans="1:18" ht="21" customHeight="1" x14ac:dyDescent="0.2">
      <c r="A61" s="54"/>
      <c r="B61" s="42"/>
      <c r="C61" s="14" t="s">
        <v>4</v>
      </c>
      <c r="D61" s="20">
        <f>E61+F61+G61+H61+I61+J61+K61+L61+M61+N61+O61</f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</row>
    <row r="62" spans="1:18" ht="15.75" x14ac:dyDescent="0.25">
      <c r="A62" s="51" t="s">
        <v>31</v>
      </c>
      <c r="B62" s="42" t="s">
        <v>141</v>
      </c>
      <c r="C62" s="21" t="s">
        <v>92</v>
      </c>
      <c r="D62" s="20">
        <f>D63+D64+D65+D66</f>
        <v>75339.900000000009</v>
      </c>
      <c r="E62" s="20">
        <f>E63+E64+E65+E66</f>
        <v>0</v>
      </c>
      <c r="F62" s="20">
        <f>F63+F64+F65+F66</f>
        <v>0</v>
      </c>
      <c r="G62" s="20">
        <f>G63+G64+G65+G66</f>
        <v>0</v>
      </c>
      <c r="H62" s="20">
        <f t="shared" ref="H62:O62" si="32">H63+H64+H65+H66</f>
        <v>0</v>
      </c>
      <c r="I62" s="20">
        <f t="shared" si="32"/>
        <v>25642.400000000001</v>
      </c>
      <c r="J62" s="20">
        <f t="shared" si="32"/>
        <v>21683.5</v>
      </c>
      <c r="K62" s="20">
        <f t="shared" si="32"/>
        <v>0</v>
      </c>
      <c r="L62" s="20">
        <f t="shared" si="32"/>
        <v>0</v>
      </c>
      <c r="M62" s="20">
        <f t="shared" si="32"/>
        <v>0</v>
      </c>
      <c r="N62" s="20">
        <f t="shared" si="32"/>
        <v>0</v>
      </c>
      <c r="O62" s="20">
        <f t="shared" si="32"/>
        <v>28014</v>
      </c>
    </row>
    <row r="63" spans="1:18" ht="19.5" customHeight="1" x14ac:dyDescent="0.2">
      <c r="A63" s="54"/>
      <c r="B63" s="42"/>
      <c r="C63" s="14" t="s">
        <v>1</v>
      </c>
      <c r="D63" s="20">
        <f>E63+F63+G63+H63+I63+J63+K63+L63+M63+N63+O63</f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</row>
    <row r="64" spans="1:18" ht="19.5" customHeight="1" x14ac:dyDescent="0.2">
      <c r="A64" s="54"/>
      <c r="B64" s="42"/>
      <c r="C64" s="14" t="s">
        <v>2</v>
      </c>
      <c r="D64" s="20">
        <f>E64+F64+G64+H64+I64+J64+K64+L64+M64+N64+O64</f>
        <v>73659.100000000006</v>
      </c>
      <c r="E64" s="15">
        <v>0</v>
      </c>
      <c r="F64" s="15">
        <v>0</v>
      </c>
      <c r="G64" s="15">
        <v>0</v>
      </c>
      <c r="H64" s="15">
        <v>0</v>
      </c>
      <c r="I64" s="15">
        <v>25642.400000000001</v>
      </c>
      <c r="J64" s="15">
        <f>38108.9-16425.4</f>
        <v>21683.5</v>
      </c>
      <c r="K64" s="15">
        <v>0</v>
      </c>
      <c r="L64" s="15">
        <v>0</v>
      </c>
      <c r="M64" s="15">
        <v>0</v>
      </c>
      <c r="N64" s="15">
        <v>0</v>
      </c>
      <c r="O64" s="15">
        <v>26333.200000000001</v>
      </c>
    </row>
    <row r="65" spans="1:15" ht="24" customHeight="1" x14ac:dyDescent="0.2">
      <c r="A65" s="54"/>
      <c r="B65" s="42"/>
      <c r="C65" s="14" t="s">
        <v>3</v>
      </c>
      <c r="D65" s="20">
        <f>E65+F65+G65+H65+I65+J65+K65+L65+M65+N65+O65</f>
        <v>1680.8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1680.8</v>
      </c>
    </row>
    <row r="66" spans="1:15" ht="55.5" customHeight="1" x14ac:dyDescent="0.2">
      <c r="A66" s="54"/>
      <c r="B66" s="42"/>
      <c r="C66" s="14" t="s">
        <v>4</v>
      </c>
      <c r="D66" s="20">
        <f>E66+F66+G66+H66+I66+J66+K66+L66+M66+N66+O66</f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</row>
    <row r="67" spans="1:15" ht="15.75" x14ac:dyDescent="0.2">
      <c r="A67" s="42" t="s">
        <v>32</v>
      </c>
      <c r="B67" s="42" t="s">
        <v>106</v>
      </c>
      <c r="C67" s="14" t="s">
        <v>92</v>
      </c>
      <c r="D67" s="20">
        <f>E67+F67+G67+H67+I67+J67</f>
        <v>548392.5</v>
      </c>
      <c r="E67" s="20">
        <f>E69+E70+E72+E74</f>
        <v>242817.69999999998</v>
      </c>
      <c r="F67" s="20">
        <f t="shared" ref="F67:O67" si="33">F69+F70+F72+F74</f>
        <v>209002.9</v>
      </c>
      <c r="G67" s="20">
        <f>G69+G70+G72+G74</f>
        <v>99.8</v>
      </c>
      <c r="H67" s="20">
        <f>H69+H70+H72+H74</f>
        <v>40083.300000000003</v>
      </c>
      <c r="I67" s="20">
        <f t="shared" si="33"/>
        <v>55550.9</v>
      </c>
      <c r="J67" s="20">
        <f t="shared" si="33"/>
        <v>837.9</v>
      </c>
      <c r="K67" s="20">
        <f t="shared" si="33"/>
        <v>0</v>
      </c>
      <c r="L67" s="20">
        <f t="shared" si="33"/>
        <v>0</v>
      </c>
      <c r="M67" s="20">
        <f t="shared" si="33"/>
        <v>0</v>
      </c>
      <c r="N67" s="20">
        <f t="shared" si="33"/>
        <v>0</v>
      </c>
      <c r="O67" s="20">
        <f t="shared" si="33"/>
        <v>0</v>
      </c>
    </row>
    <row r="68" spans="1:15" ht="48.75" customHeight="1" x14ac:dyDescent="0.2">
      <c r="A68" s="42"/>
      <c r="B68" s="52"/>
      <c r="C68" s="12" t="s">
        <v>25</v>
      </c>
      <c r="D68" s="22">
        <f t="shared" ref="D68:D74" si="34">E68+F68+G68+H68+I68+J68+K68+L68+M68+N68+O68</f>
        <v>22528.54</v>
      </c>
      <c r="E68" s="22">
        <v>22528.54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</row>
    <row r="69" spans="1:15" ht="15.75" x14ac:dyDescent="0.2">
      <c r="A69" s="42"/>
      <c r="B69" s="50"/>
      <c r="C69" s="14" t="s">
        <v>1</v>
      </c>
      <c r="D69" s="20">
        <f t="shared" si="34"/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</row>
    <row r="70" spans="1:15" ht="31.5" x14ac:dyDescent="0.2">
      <c r="A70" s="42"/>
      <c r="B70" s="50"/>
      <c r="C70" s="14" t="s">
        <v>23</v>
      </c>
      <c r="D70" s="20">
        <f t="shared" si="34"/>
        <v>426355.6</v>
      </c>
      <c r="E70" s="20">
        <v>230842.8</v>
      </c>
      <c r="F70" s="20">
        <v>195512.8</v>
      </c>
      <c r="G70" s="20">
        <v>0</v>
      </c>
      <c r="H70" s="20">
        <v>0</v>
      </c>
      <c r="I70" s="20">
        <v>0</v>
      </c>
      <c r="J70" s="20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</row>
    <row r="71" spans="1:15" ht="54" customHeight="1" x14ac:dyDescent="0.2">
      <c r="A71" s="42"/>
      <c r="B71" s="50"/>
      <c r="C71" s="12" t="s">
        <v>25</v>
      </c>
      <c r="D71" s="20">
        <f t="shared" si="34"/>
        <v>21568.1</v>
      </c>
      <c r="E71" s="22">
        <v>21568.1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</row>
    <row r="72" spans="1:15" ht="31.5" x14ac:dyDescent="0.2">
      <c r="A72" s="42"/>
      <c r="B72" s="50"/>
      <c r="C72" s="14" t="s">
        <v>24</v>
      </c>
      <c r="D72" s="20">
        <f t="shared" si="34"/>
        <v>122036.9</v>
      </c>
      <c r="E72" s="20">
        <v>11974.9</v>
      </c>
      <c r="F72" s="20">
        <v>13490.1</v>
      </c>
      <c r="G72" s="20">
        <f>99.8</f>
        <v>99.8</v>
      </c>
      <c r="H72" s="20">
        <v>40083.300000000003</v>
      </c>
      <c r="I72" s="20">
        <f>55550.9</f>
        <v>55550.9</v>
      </c>
      <c r="J72" s="20">
        <v>837.9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</row>
    <row r="73" spans="1:15" ht="51" customHeight="1" x14ac:dyDescent="0.2">
      <c r="A73" s="42"/>
      <c r="B73" s="50"/>
      <c r="C73" s="12" t="s">
        <v>25</v>
      </c>
      <c r="D73" s="20">
        <f t="shared" si="34"/>
        <v>1060.24</v>
      </c>
      <c r="E73" s="22">
        <v>960.44</v>
      </c>
      <c r="F73" s="15">
        <v>0</v>
      </c>
      <c r="G73" s="15">
        <v>99.8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</row>
    <row r="74" spans="1:15" ht="16.5" customHeight="1" x14ac:dyDescent="0.2">
      <c r="A74" s="42"/>
      <c r="B74" s="50"/>
      <c r="C74" s="14" t="s">
        <v>4</v>
      </c>
      <c r="D74" s="20">
        <f t="shared" si="34"/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</row>
    <row r="75" spans="1:15" ht="15.75" x14ac:dyDescent="0.2">
      <c r="A75" s="42" t="s">
        <v>33</v>
      </c>
      <c r="B75" s="42" t="s">
        <v>18</v>
      </c>
      <c r="C75" s="14" t="s">
        <v>92</v>
      </c>
      <c r="D75" s="20">
        <f>E75+F75+G75+H75+I75+J75</f>
        <v>4689.8</v>
      </c>
      <c r="E75" s="20">
        <f t="shared" ref="E75:J75" si="35">E76+E77+E78+E79</f>
        <v>4689.8</v>
      </c>
      <c r="F75" s="20">
        <f t="shared" si="35"/>
        <v>0</v>
      </c>
      <c r="G75" s="20">
        <f t="shared" si="35"/>
        <v>0</v>
      </c>
      <c r="H75" s="20">
        <f t="shared" si="35"/>
        <v>0</v>
      </c>
      <c r="I75" s="20">
        <f t="shared" si="35"/>
        <v>0</v>
      </c>
      <c r="J75" s="20">
        <f t="shared" si="35"/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</row>
    <row r="76" spans="1:15" ht="15.75" x14ac:dyDescent="0.2">
      <c r="A76" s="42"/>
      <c r="B76" s="42"/>
      <c r="C76" s="14" t="s">
        <v>1</v>
      </c>
      <c r="D76" s="20">
        <f>E76+F76+G76+H76+I76+J76+K76+L76+M76+N76+O76</f>
        <v>0</v>
      </c>
      <c r="E76" s="20">
        <v>0</v>
      </c>
      <c r="F76" s="15">
        <v>0</v>
      </c>
      <c r="G76" s="15">
        <v>0</v>
      </c>
      <c r="H76" s="20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</row>
    <row r="77" spans="1:15" ht="15.75" x14ac:dyDescent="0.2">
      <c r="A77" s="42"/>
      <c r="B77" s="42"/>
      <c r="C77" s="14" t="s">
        <v>2</v>
      </c>
      <c r="D77" s="20">
        <f>E77+F77+G77+H77+I77+J77+K77+L77+M77+N77+O77</f>
        <v>4416.1000000000004</v>
      </c>
      <c r="E77" s="20">
        <v>4416.1000000000004</v>
      </c>
      <c r="F77" s="15">
        <v>0</v>
      </c>
      <c r="G77" s="15">
        <v>0</v>
      </c>
      <c r="H77" s="20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</row>
    <row r="78" spans="1:15" ht="15.75" x14ac:dyDescent="0.2">
      <c r="A78" s="42"/>
      <c r="B78" s="42"/>
      <c r="C78" s="14" t="s">
        <v>3</v>
      </c>
      <c r="D78" s="20">
        <f>E78+F78+G78+H78+I78+J78+K78+L78+M78+N78+O78</f>
        <v>273.7</v>
      </c>
      <c r="E78" s="20">
        <v>273.7</v>
      </c>
      <c r="F78" s="15">
        <v>0</v>
      </c>
      <c r="G78" s="15">
        <v>0</v>
      </c>
      <c r="H78" s="20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</row>
    <row r="79" spans="1:15" ht="17.25" customHeight="1" x14ac:dyDescent="0.2">
      <c r="A79" s="42"/>
      <c r="B79" s="42"/>
      <c r="C79" s="14" t="s">
        <v>4</v>
      </c>
      <c r="D79" s="20">
        <f>E79+F79+G79+H79+I79+J79+K79+L79+M79+N79+O79</f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</row>
    <row r="80" spans="1:15" ht="15.75" customHeight="1" x14ac:dyDescent="0.2">
      <c r="A80" s="42" t="s">
        <v>34</v>
      </c>
      <c r="B80" s="42" t="s">
        <v>60</v>
      </c>
      <c r="C80" s="14" t="s">
        <v>92</v>
      </c>
      <c r="D80" s="20">
        <f>E80+F80+G80+H80+I80+J80</f>
        <v>103144</v>
      </c>
      <c r="E80" s="20">
        <f>E82+E83+E84+E86</f>
        <v>47143.9</v>
      </c>
      <c r="F80" s="20">
        <f t="shared" ref="F80:O80" si="36">F82+F83+F84+F86</f>
        <v>56000</v>
      </c>
      <c r="G80" s="20">
        <f t="shared" si="36"/>
        <v>0.1</v>
      </c>
      <c r="H80" s="20">
        <f t="shared" si="36"/>
        <v>0</v>
      </c>
      <c r="I80" s="20">
        <f t="shared" si="36"/>
        <v>0</v>
      </c>
      <c r="J80" s="20">
        <f t="shared" si="36"/>
        <v>0</v>
      </c>
      <c r="K80" s="20">
        <f t="shared" si="36"/>
        <v>0</v>
      </c>
      <c r="L80" s="20">
        <f t="shared" si="36"/>
        <v>0</v>
      </c>
      <c r="M80" s="20">
        <f t="shared" si="36"/>
        <v>0</v>
      </c>
      <c r="N80" s="20">
        <f t="shared" si="36"/>
        <v>0</v>
      </c>
      <c r="O80" s="20">
        <f t="shared" si="36"/>
        <v>0</v>
      </c>
    </row>
    <row r="81" spans="1:15" ht="48.75" customHeight="1" x14ac:dyDescent="0.2">
      <c r="A81" s="42"/>
      <c r="B81" s="42"/>
      <c r="C81" s="12" t="s">
        <v>25</v>
      </c>
      <c r="D81" s="22">
        <f>E81+F81+G81+H81+I81+J81</f>
        <v>866.4</v>
      </c>
      <c r="E81" s="22">
        <f>E85</f>
        <v>866.4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</row>
    <row r="82" spans="1:15" ht="15.75" x14ac:dyDescent="0.2">
      <c r="A82" s="42"/>
      <c r="B82" s="42"/>
      <c r="C82" s="14" t="s">
        <v>1</v>
      </c>
      <c r="D82" s="20">
        <f t="shared" ref="D82:D87" si="37">E82+F82+G82+H82+I82+J82+K82+L82+M82+N82+O82</f>
        <v>0</v>
      </c>
      <c r="E82" s="20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</row>
    <row r="83" spans="1:15" ht="15.75" x14ac:dyDescent="0.2">
      <c r="A83" s="42"/>
      <c r="B83" s="42"/>
      <c r="C83" s="14" t="s">
        <v>2</v>
      </c>
      <c r="D83" s="20">
        <f t="shared" si="37"/>
        <v>90334.3</v>
      </c>
      <c r="E83" s="20">
        <v>36834.300000000003</v>
      </c>
      <c r="F83" s="15">
        <v>53500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</row>
    <row r="84" spans="1:15" ht="31.5" x14ac:dyDescent="0.2">
      <c r="A84" s="42"/>
      <c r="B84" s="42"/>
      <c r="C84" s="14" t="s">
        <v>24</v>
      </c>
      <c r="D84" s="20">
        <f t="shared" si="37"/>
        <v>12809.7</v>
      </c>
      <c r="E84" s="20">
        <v>10309.6</v>
      </c>
      <c r="F84" s="15">
        <v>2500</v>
      </c>
      <c r="G84" s="15">
        <v>0.1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</row>
    <row r="85" spans="1:15" ht="53.25" customHeight="1" x14ac:dyDescent="0.2">
      <c r="A85" s="42"/>
      <c r="B85" s="42"/>
      <c r="C85" s="12" t="s">
        <v>25</v>
      </c>
      <c r="D85" s="22">
        <f t="shared" si="37"/>
        <v>866.4</v>
      </c>
      <c r="E85" s="22">
        <v>866.4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</row>
    <row r="86" spans="1:15" ht="18.75" customHeight="1" x14ac:dyDescent="0.2">
      <c r="A86" s="42"/>
      <c r="B86" s="42"/>
      <c r="C86" s="14" t="s">
        <v>4</v>
      </c>
      <c r="D86" s="20">
        <f t="shared" si="37"/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</row>
    <row r="87" spans="1:15" ht="18" customHeight="1" x14ac:dyDescent="0.2">
      <c r="A87" s="42" t="s">
        <v>98</v>
      </c>
      <c r="B87" s="42" t="s">
        <v>84</v>
      </c>
      <c r="C87" s="14" t="s">
        <v>92</v>
      </c>
      <c r="D87" s="20">
        <f t="shared" si="37"/>
        <v>10148.699999999999</v>
      </c>
      <c r="E87" s="20">
        <f>E89+E90+E92+E94</f>
        <v>10148.699999999999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</row>
    <row r="88" spans="1:15" ht="49.5" customHeight="1" x14ac:dyDescent="0.2">
      <c r="A88" s="42"/>
      <c r="B88" s="42"/>
      <c r="C88" s="12" t="s">
        <v>25</v>
      </c>
      <c r="D88" s="22">
        <f t="shared" ref="D88:D94" si="38">E88+F88+G88+H88+I88+J88+K88+L88+M88+N88+O88</f>
        <v>4612.6000000000004</v>
      </c>
      <c r="E88" s="22">
        <v>4612.6000000000004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</row>
    <row r="89" spans="1:15" ht="15.75" x14ac:dyDescent="0.2">
      <c r="A89" s="42"/>
      <c r="B89" s="42"/>
      <c r="C89" s="14" t="s">
        <v>1</v>
      </c>
      <c r="D89" s="20">
        <f t="shared" si="38"/>
        <v>0</v>
      </c>
      <c r="E89" s="20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</row>
    <row r="90" spans="1:15" ht="32.25" customHeight="1" x14ac:dyDescent="0.2">
      <c r="A90" s="42"/>
      <c r="B90" s="42"/>
      <c r="C90" s="14" t="s">
        <v>23</v>
      </c>
      <c r="D90" s="20">
        <f t="shared" si="38"/>
        <v>9442.7999999999993</v>
      </c>
      <c r="E90" s="20">
        <v>9442.7999999999993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</row>
    <row r="91" spans="1:15" ht="53.25" customHeight="1" x14ac:dyDescent="0.2">
      <c r="A91" s="42"/>
      <c r="B91" s="42"/>
      <c r="C91" s="12" t="s">
        <v>25</v>
      </c>
      <c r="D91" s="22">
        <f t="shared" si="38"/>
        <v>4294</v>
      </c>
      <c r="E91" s="22">
        <v>4294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</row>
    <row r="92" spans="1:15" ht="31.5" x14ac:dyDescent="0.2">
      <c r="A92" s="42"/>
      <c r="B92" s="42"/>
      <c r="C92" s="14" t="s">
        <v>24</v>
      </c>
      <c r="D92" s="20">
        <f t="shared" si="38"/>
        <v>705.9</v>
      </c>
      <c r="E92" s="20">
        <v>705.9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</row>
    <row r="93" spans="1:15" ht="51.75" customHeight="1" x14ac:dyDescent="0.2">
      <c r="A93" s="42"/>
      <c r="B93" s="42"/>
      <c r="C93" s="12" t="s">
        <v>25</v>
      </c>
      <c r="D93" s="20">
        <f t="shared" si="38"/>
        <v>318.60000000000002</v>
      </c>
      <c r="E93" s="22">
        <v>318.60000000000002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</row>
    <row r="94" spans="1:15" ht="21" customHeight="1" x14ac:dyDescent="0.2">
      <c r="A94" s="42"/>
      <c r="B94" s="42"/>
      <c r="C94" s="14" t="s">
        <v>4</v>
      </c>
      <c r="D94" s="20">
        <f t="shared" si="38"/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</row>
    <row r="95" spans="1:15" ht="15.75" x14ac:dyDescent="0.2">
      <c r="A95" s="42" t="s">
        <v>35</v>
      </c>
      <c r="B95" s="42" t="s">
        <v>85</v>
      </c>
      <c r="C95" s="14" t="s">
        <v>92</v>
      </c>
      <c r="D95" s="20">
        <f t="shared" ref="D95:D101" si="39">E95+F95+G95+H95+I95+J95</f>
        <v>7901.4</v>
      </c>
      <c r="E95" s="20">
        <f>E96+E97+E99+E101</f>
        <v>7901.4</v>
      </c>
      <c r="F95" s="20">
        <f t="shared" ref="F95:O95" si="40">F96+F97+F99+F101</f>
        <v>0</v>
      </c>
      <c r="G95" s="20">
        <f t="shared" si="40"/>
        <v>0</v>
      </c>
      <c r="H95" s="20">
        <f t="shared" si="40"/>
        <v>0</v>
      </c>
      <c r="I95" s="20">
        <f t="shared" si="40"/>
        <v>0</v>
      </c>
      <c r="J95" s="20">
        <f t="shared" si="40"/>
        <v>0</v>
      </c>
      <c r="K95" s="20">
        <f t="shared" si="40"/>
        <v>0</v>
      </c>
      <c r="L95" s="20">
        <f t="shared" si="40"/>
        <v>0</v>
      </c>
      <c r="M95" s="20">
        <f t="shared" si="40"/>
        <v>0</v>
      </c>
      <c r="N95" s="20">
        <f t="shared" si="40"/>
        <v>0</v>
      </c>
      <c r="O95" s="20">
        <f t="shared" si="40"/>
        <v>0</v>
      </c>
    </row>
    <row r="96" spans="1:15" ht="15.75" x14ac:dyDescent="0.2">
      <c r="A96" s="42"/>
      <c r="B96" s="42"/>
      <c r="C96" s="14" t="s">
        <v>1</v>
      </c>
      <c r="D96" s="20">
        <f t="shared" si="39"/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</row>
    <row r="97" spans="1:15" ht="31.5" x14ac:dyDescent="0.2">
      <c r="A97" s="42"/>
      <c r="B97" s="42"/>
      <c r="C97" s="14" t="s">
        <v>23</v>
      </c>
      <c r="D97" s="20">
        <f t="shared" si="39"/>
        <v>7353</v>
      </c>
      <c r="E97" s="20">
        <v>7353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</row>
    <row r="98" spans="1:15" ht="49.5" customHeight="1" x14ac:dyDescent="0.2">
      <c r="A98" s="42"/>
      <c r="B98" s="42"/>
      <c r="C98" s="12" t="s">
        <v>25</v>
      </c>
      <c r="D98" s="22">
        <f t="shared" si="39"/>
        <v>5923.4</v>
      </c>
      <c r="E98" s="22">
        <v>5923.4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</row>
    <row r="99" spans="1:15" ht="31.5" x14ac:dyDescent="0.2">
      <c r="A99" s="42"/>
      <c r="B99" s="42"/>
      <c r="C99" s="14" t="s">
        <v>24</v>
      </c>
      <c r="D99" s="20">
        <f t="shared" si="39"/>
        <v>548.4</v>
      </c>
      <c r="E99" s="20">
        <v>548.4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</row>
    <row r="100" spans="1:15" ht="50.25" customHeight="1" x14ac:dyDescent="0.2">
      <c r="A100" s="42"/>
      <c r="B100" s="42"/>
      <c r="C100" s="12" t="s">
        <v>25</v>
      </c>
      <c r="D100" s="22">
        <f t="shared" si="39"/>
        <v>405.5</v>
      </c>
      <c r="E100" s="22">
        <v>405.5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</row>
    <row r="101" spans="1:15" ht="20.25" customHeight="1" x14ac:dyDescent="0.2">
      <c r="A101" s="42"/>
      <c r="B101" s="42"/>
      <c r="C101" s="14" t="s">
        <v>4</v>
      </c>
      <c r="D101" s="20">
        <f t="shared" si="39"/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</row>
    <row r="102" spans="1:15" ht="15.75" x14ac:dyDescent="0.2">
      <c r="A102" s="42" t="s">
        <v>36</v>
      </c>
      <c r="B102" s="42" t="s">
        <v>65</v>
      </c>
      <c r="C102" s="14" t="s">
        <v>92</v>
      </c>
      <c r="D102" s="20">
        <f t="shared" ref="D102:D119" si="41">E102+F102+G102+H102+I102+J102+K102+L102+M102+N102+O102</f>
        <v>32899.9</v>
      </c>
      <c r="E102" s="20">
        <f>E103+E104+E105+E107</f>
        <v>0</v>
      </c>
      <c r="F102" s="20">
        <f t="shared" ref="F102:O102" si="42">F103+F104+F105+F107</f>
        <v>31052.300000000003</v>
      </c>
      <c r="G102" s="20">
        <f t="shared" si="42"/>
        <v>1847.6</v>
      </c>
      <c r="H102" s="20">
        <f t="shared" si="42"/>
        <v>0</v>
      </c>
      <c r="I102" s="20">
        <f t="shared" si="42"/>
        <v>0</v>
      </c>
      <c r="J102" s="20">
        <f t="shared" si="42"/>
        <v>0</v>
      </c>
      <c r="K102" s="20">
        <f t="shared" si="42"/>
        <v>0</v>
      </c>
      <c r="L102" s="20">
        <f t="shared" si="42"/>
        <v>0</v>
      </c>
      <c r="M102" s="20">
        <f t="shared" si="42"/>
        <v>0</v>
      </c>
      <c r="N102" s="20">
        <f t="shared" si="42"/>
        <v>0</v>
      </c>
      <c r="O102" s="20">
        <f t="shared" si="42"/>
        <v>0</v>
      </c>
    </row>
    <row r="103" spans="1:15" ht="15.75" x14ac:dyDescent="0.2">
      <c r="A103" s="42"/>
      <c r="B103" s="42"/>
      <c r="C103" s="14" t="s">
        <v>1</v>
      </c>
      <c r="D103" s="20">
        <f t="shared" si="41"/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</row>
    <row r="104" spans="1:15" ht="15.75" x14ac:dyDescent="0.2">
      <c r="A104" s="42"/>
      <c r="B104" s="42"/>
      <c r="C104" s="14" t="s">
        <v>2</v>
      </c>
      <c r="D104" s="20">
        <f t="shared" si="41"/>
        <v>27744.400000000001</v>
      </c>
      <c r="E104" s="15">
        <v>0</v>
      </c>
      <c r="F104" s="15">
        <v>27744.400000000001</v>
      </c>
      <c r="G104" s="15">
        <v>0</v>
      </c>
      <c r="H104" s="20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</row>
    <row r="105" spans="1:15" ht="31.5" x14ac:dyDescent="0.2">
      <c r="A105" s="42"/>
      <c r="B105" s="42"/>
      <c r="C105" s="14" t="s">
        <v>24</v>
      </c>
      <c r="D105" s="20">
        <f t="shared" si="41"/>
        <v>5155.5</v>
      </c>
      <c r="E105" s="15">
        <v>0</v>
      </c>
      <c r="F105" s="15">
        <v>3307.9</v>
      </c>
      <c r="G105" s="15">
        <v>1847.6</v>
      </c>
      <c r="H105" s="20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</row>
    <row r="106" spans="1:15" ht="50.25" customHeight="1" x14ac:dyDescent="0.2">
      <c r="A106" s="42"/>
      <c r="B106" s="42"/>
      <c r="C106" s="12" t="s">
        <v>25</v>
      </c>
      <c r="D106" s="22">
        <f t="shared" si="41"/>
        <v>1847.6</v>
      </c>
      <c r="E106" s="22">
        <v>0</v>
      </c>
      <c r="F106" s="13">
        <v>0</v>
      </c>
      <c r="G106" s="15">
        <v>1847.6</v>
      </c>
      <c r="H106" s="22">
        <v>0</v>
      </c>
      <c r="I106" s="13">
        <v>0</v>
      </c>
      <c r="J106" s="13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</row>
    <row r="107" spans="1:15" ht="21.75" customHeight="1" x14ac:dyDescent="0.2">
      <c r="A107" s="42"/>
      <c r="B107" s="42"/>
      <c r="C107" s="14" t="s">
        <v>4</v>
      </c>
      <c r="D107" s="20">
        <f t="shared" si="41"/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</row>
    <row r="108" spans="1:15" ht="15" customHeight="1" x14ac:dyDescent="0.2">
      <c r="A108" s="42" t="s">
        <v>37</v>
      </c>
      <c r="B108" s="42" t="s">
        <v>108</v>
      </c>
      <c r="C108" s="14" t="s">
        <v>92</v>
      </c>
      <c r="D108" s="20">
        <f t="shared" si="41"/>
        <v>8327.2999999999993</v>
      </c>
      <c r="E108" s="20">
        <f t="shared" ref="E108:O108" si="43">E109+E110+E111+E113</f>
        <v>3585.3</v>
      </c>
      <c r="F108" s="20">
        <f t="shared" si="43"/>
        <v>3502</v>
      </c>
      <c r="G108" s="20">
        <f t="shared" si="43"/>
        <v>0</v>
      </c>
      <c r="H108" s="20">
        <f t="shared" si="43"/>
        <v>1240</v>
      </c>
      <c r="I108" s="20">
        <f t="shared" si="43"/>
        <v>0</v>
      </c>
      <c r="J108" s="20">
        <f t="shared" si="43"/>
        <v>0</v>
      </c>
      <c r="K108" s="20">
        <f t="shared" si="43"/>
        <v>0</v>
      </c>
      <c r="L108" s="20">
        <f t="shared" si="43"/>
        <v>0</v>
      </c>
      <c r="M108" s="20">
        <f t="shared" si="43"/>
        <v>0</v>
      </c>
      <c r="N108" s="20">
        <f t="shared" si="43"/>
        <v>0</v>
      </c>
      <c r="O108" s="20">
        <f t="shared" si="43"/>
        <v>0</v>
      </c>
    </row>
    <row r="109" spans="1:15" ht="15.75" x14ac:dyDescent="0.2">
      <c r="A109" s="42"/>
      <c r="B109" s="42"/>
      <c r="C109" s="14" t="s">
        <v>1</v>
      </c>
      <c r="D109" s="20">
        <f t="shared" si="41"/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</row>
    <row r="110" spans="1:15" ht="15.75" x14ac:dyDescent="0.2">
      <c r="A110" s="42"/>
      <c r="B110" s="42"/>
      <c r="C110" s="14" t="s">
        <v>2</v>
      </c>
      <c r="D110" s="20">
        <f t="shared" si="41"/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</row>
    <row r="111" spans="1:15" ht="15.75" x14ac:dyDescent="0.2">
      <c r="A111" s="42"/>
      <c r="B111" s="42"/>
      <c r="C111" s="14" t="s">
        <v>3</v>
      </c>
      <c r="D111" s="20">
        <f t="shared" si="41"/>
        <v>8327.2999999999993</v>
      </c>
      <c r="E111" s="20">
        <v>3585.3</v>
      </c>
      <c r="F111" s="20">
        <v>3502</v>
      </c>
      <c r="G111" s="20">
        <v>0</v>
      </c>
      <c r="H111" s="20">
        <v>1240</v>
      </c>
      <c r="I111" s="20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48.75" customHeight="1" x14ac:dyDescent="0.2">
      <c r="A112" s="42"/>
      <c r="B112" s="42"/>
      <c r="C112" s="12" t="s">
        <v>25</v>
      </c>
      <c r="D112" s="22">
        <f t="shared" si="41"/>
        <v>3530.4</v>
      </c>
      <c r="E112" s="22">
        <v>85.3</v>
      </c>
      <c r="F112" s="22">
        <v>3445.1</v>
      </c>
      <c r="G112" s="22">
        <v>0</v>
      </c>
      <c r="H112" s="22">
        <v>0</v>
      </c>
      <c r="I112" s="22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</row>
    <row r="113" spans="1:15" ht="17.25" customHeight="1" x14ac:dyDescent="0.2">
      <c r="A113" s="42"/>
      <c r="B113" s="42"/>
      <c r="C113" s="14" t="s">
        <v>4</v>
      </c>
      <c r="D113" s="20">
        <f t="shared" si="41"/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</row>
    <row r="114" spans="1:15" ht="24" customHeight="1" x14ac:dyDescent="0.2">
      <c r="A114" s="42" t="s">
        <v>38</v>
      </c>
      <c r="B114" s="42" t="s">
        <v>72</v>
      </c>
      <c r="C114" s="14" t="s">
        <v>92</v>
      </c>
      <c r="D114" s="20">
        <f t="shared" si="41"/>
        <v>8852.4</v>
      </c>
      <c r="E114" s="20">
        <f>E115+E116+E117+E119</f>
        <v>1100</v>
      </c>
      <c r="F114" s="20">
        <f t="shared" ref="F114:O114" si="44">F115+F116+F117+F119</f>
        <v>3876.2</v>
      </c>
      <c r="G114" s="20">
        <f t="shared" si="44"/>
        <v>0</v>
      </c>
      <c r="H114" s="20">
        <f t="shared" si="44"/>
        <v>3876.2</v>
      </c>
      <c r="I114" s="20">
        <f t="shared" si="44"/>
        <v>0</v>
      </c>
      <c r="J114" s="20">
        <f t="shared" si="44"/>
        <v>0</v>
      </c>
      <c r="K114" s="20">
        <f t="shared" si="44"/>
        <v>0</v>
      </c>
      <c r="L114" s="20">
        <f t="shared" si="44"/>
        <v>0</v>
      </c>
      <c r="M114" s="20">
        <f t="shared" si="44"/>
        <v>0</v>
      </c>
      <c r="N114" s="20">
        <f t="shared" si="44"/>
        <v>0</v>
      </c>
      <c r="O114" s="20">
        <f t="shared" si="44"/>
        <v>0</v>
      </c>
    </row>
    <row r="115" spans="1:15" ht="15.75" x14ac:dyDescent="0.2">
      <c r="A115" s="42"/>
      <c r="B115" s="42"/>
      <c r="C115" s="14" t="s">
        <v>1</v>
      </c>
      <c r="D115" s="20">
        <f t="shared" si="41"/>
        <v>0</v>
      </c>
      <c r="E115" s="20">
        <v>0</v>
      </c>
      <c r="F115" s="20">
        <v>0</v>
      </c>
      <c r="G115" s="20">
        <v>0</v>
      </c>
      <c r="H115" s="15">
        <v>0</v>
      </c>
      <c r="I115" s="20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</row>
    <row r="116" spans="1:15" ht="15.75" x14ac:dyDescent="0.2">
      <c r="A116" s="42"/>
      <c r="B116" s="42"/>
      <c r="C116" s="14" t="s">
        <v>2</v>
      </c>
      <c r="D116" s="20">
        <f t="shared" si="41"/>
        <v>0</v>
      </c>
      <c r="E116" s="20">
        <v>0</v>
      </c>
      <c r="F116" s="20">
        <v>0</v>
      </c>
      <c r="G116" s="20">
        <v>0</v>
      </c>
      <c r="H116" s="15">
        <v>0</v>
      </c>
      <c r="I116" s="20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</row>
    <row r="117" spans="1:15" ht="15.75" x14ac:dyDescent="0.2">
      <c r="A117" s="42"/>
      <c r="B117" s="42"/>
      <c r="C117" s="14" t="s">
        <v>3</v>
      </c>
      <c r="D117" s="20">
        <f t="shared" si="41"/>
        <v>8852.4</v>
      </c>
      <c r="E117" s="20">
        <v>1100</v>
      </c>
      <c r="F117" s="20">
        <v>3876.2</v>
      </c>
      <c r="G117" s="20">
        <v>0</v>
      </c>
      <c r="H117" s="15">
        <v>3876.2</v>
      </c>
      <c r="I117" s="20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</row>
    <row r="118" spans="1:15" ht="31.5" x14ac:dyDescent="0.2">
      <c r="A118" s="42"/>
      <c r="B118" s="42"/>
      <c r="C118" s="12" t="s">
        <v>71</v>
      </c>
      <c r="D118" s="22">
        <f t="shared" si="41"/>
        <v>3876.2</v>
      </c>
      <c r="E118" s="22">
        <v>0</v>
      </c>
      <c r="F118" s="22">
        <v>0</v>
      </c>
      <c r="G118" s="22">
        <v>0</v>
      </c>
      <c r="H118" s="13">
        <v>3876.2</v>
      </c>
      <c r="I118" s="22">
        <v>0</v>
      </c>
      <c r="J118" s="13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</row>
    <row r="119" spans="1:15" ht="16.5" customHeight="1" x14ac:dyDescent="0.2">
      <c r="A119" s="42"/>
      <c r="B119" s="42"/>
      <c r="C119" s="14" t="s">
        <v>4</v>
      </c>
      <c r="D119" s="20">
        <f t="shared" si="41"/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</row>
    <row r="120" spans="1:15" ht="15.75" x14ac:dyDescent="0.2">
      <c r="A120" s="42" t="s">
        <v>78</v>
      </c>
      <c r="B120" s="42" t="s">
        <v>58</v>
      </c>
      <c r="C120" s="14" t="s">
        <v>92</v>
      </c>
      <c r="D120" s="20">
        <f>E120+F120+G120+H120+I120+J120+K120</f>
        <v>63439.80000000001</v>
      </c>
      <c r="E120" s="20">
        <f t="shared" ref="E120:O120" si="45">E121+E122+E123+E126</f>
        <v>4093.9</v>
      </c>
      <c r="F120" s="20">
        <f t="shared" si="45"/>
        <v>59241.100000000006</v>
      </c>
      <c r="G120" s="20">
        <f t="shared" si="45"/>
        <v>104.8</v>
      </c>
      <c r="H120" s="20">
        <f t="shared" si="45"/>
        <v>0</v>
      </c>
      <c r="I120" s="20">
        <f t="shared" si="45"/>
        <v>0</v>
      </c>
      <c r="J120" s="20">
        <f t="shared" si="45"/>
        <v>0</v>
      </c>
      <c r="K120" s="20">
        <f t="shared" si="45"/>
        <v>0</v>
      </c>
      <c r="L120" s="20">
        <f t="shared" si="45"/>
        <v>0</v>
      </c>
      <c r="M120" s="20">
        <f t="shared" si="45"/>
        <v>0</v>
      </c>
      <c r="N120" s="20">
        <f t="shared" si="45"/>
        <v>0</v>
      </c>
      <c r="O120" s="20">
        <f t="shared" si="45"/>
        <v>0</v>
      </c>
    </row>
    <row r="121" spans="1:15" ht="15.75" x14ac:dyDescent="0.2">
      <c r="A121" s="42"/>
      <c r="B121" s="42"/>
      <c r="C121" s="14" t="s">
        <v>1</v>
      </c>
      <c r="D121" s="20">
        <f>E121+F121+G121+H121+I121+J121+K121+L121+M121+N121+O121</f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</row>
    <row r="122" spans="1:15" ht="15.75" x14ac:dyDescent="0.2">
      <c r="A122" s="42"/>
      <c r="B122" s="42"/>
      <c r="C122" s="14" t="s">
        <v>2</v>
      </c>
      <c r="D122" s="20">
        <f>E122+F122+G122+H122+I122+J122+K122</f>
        <v>43842.8</v>
      </c>
      <c r="E122" s="15">
        <v>0</v>
      </c>
      <c r="F122" s="15">
        <v>43842.8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</row>
    <row r="123" spans="1:15" ht="31.5" x14ac:dyDescent="0.2">
      <c r="A123" s="42"/>
      <c r="B123" s="42"/>
      <c r="C123" s="14" t="s">
        <v>24</v>
      </c>
      <c r="D123" s="20">
        <f>E123+F123+G123+H123+I123+J123+K123</f>
        <v>19597</v>
      </c>
      <c r="E123" s="20">
        <v>4093.9</v>
      </c>
      <c r="F123" s="15">
        <v>15398.3</v>
      </c>
      <c r="G123" s="15">
        <f>G125</f>
        <v>104.8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</row>
    <row r="124" spans="1:15" ht="31.5" x14ac:dyDescent="0.2">
      <c r="A124" s="42"/>
      <c r="B124" s="42"/>
      <c r="C124" s="12" t="s">
        <v>71</v>
      </c>
      <c r="D124" s="22">
        <f>E124+F124+G124+H124+I124+J124+K124</f>
        <v>1317.7</v>
      </c>
      <c r="E124" s="22">
        <v>0</v>
      </c>
      <c r="F124" s="13">
        <v>1317.7</v>
      </c>
      <c r="G124" s="13">
        <v>0</v>
      </c>
      <c r="H124" s="13">
        <v>0</v>
      </c>
      <c r="I124" s="13">
        <v>0</v>
      </c>
      <c r="J124" s="13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</row>
    <row r="125" spans="1:15" ht="48.75" customHeight="1" x14ac:dyDescent="0.2">
      <c r="A125" s="42"/>
      <c r="B125" s="42"/>
      <c r="C125" s="12" t="s">
        <v>25</v>
      </c>
      <c r="D125" s="22">
        <f>E125+F125+G125+H125+I125+J125+K125</f>
        <v>1422.5</v>
      </c>
      <c r="E125" s="22">
        <v>0</v>
      </c>
      <c r="F125" s="13">
        <v>1317.7</v>
      </c>
      <c r="G125" s="13">
        <v>104.8</v>
      </c>
      <c r="H125" s="13">
        <v>0</v>
      </c>
      <c r="I125" s="13">
        <v>0</v>
      </c>
      <c r="J125" s="13">
        <v>0</v>
      </c>
      <c r="K125" s="15">
        <v>0</v>
      </c>
      <c r="L125" s="13">
        <v>0</v>
      </c>
      <c r="M125" s="13">
        <v>0</v>
      </c>
      <c r="N125" s="13">
        <v>0</v>
      </c>
      <c r="O125" s="13">
        <v>0</v>
      </c>
    </row>
    <row r="126" spans="1:15" ht="19.5" customHeight="1" x14ac:dyDescent="0.2">
      <c r="A126" s="42"/>
      <c r="B126" s="42"/>
      <c r="C126" s="14" t="s">
        <v>4</v>
      </c>
      <c r="D126" s="20">
        <f>E126+F126+G126+H126+I126+J126+K126</f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</row>
    <row r="127" spans="1:15" ht="15.75" x14ac:dyDescent="0.2">
      <c r="A127" s="42" t="s">
        <v>39</v>
      </c>
      <c r="B127" s="42" t="s">
        <v>83</v>
      </c>
      <c r="C127" s="14" t="s">
        <v>92</v>
      </c>
      <c r="D127" s="20">
        <f>E127+F127+G127+H127+I127+J127+K127+L127+M127+N127+O127</f>
        <v>24740</v>
      </c>
      <c r="E127" s="20">
        <f>E128+E129+E130+E133</f>
        <v>12370</v>
      </c>
      <c r="F127" s="20">
        <f t="shared" ref="F127:O127" si="46">F128+F129+F130+F133</f>
        <v>12370</v>
      </c>
      <c r="G127" s="20">
        <f t="shared" si="46"/>
        <v>0</v>
      </c>
      <c r="H127" s="20">
        <f t="shared" si="46"/>
        <v>0</v>
      </c>
      <c r="I127" s="20">
        <f t="shared" si="46"/>
        <v>0</v>
      </c>
      <c r="J127" s="20">
        <f t="shared" si="46"/>
        <v>0</v>
      </c>
      <c r="K127" s="20">
        <f t="shared" si="46"/>
        <v>0</v>
      </c>
      <c r="L127" s="20">
        <f t="shared" si="46"/>
        <v>0</v>
      </c>
      <c r="M127" s="20">
        <f t="shared" si="46"/>
        <v>0</v>
      </c>
      <c r="N127" s="20">
        <f t="shared" si="46"/>
        <v>0</v>
      </c>
      <c r="O127" s="20">
        <f t="shared" si="46"/>
        <v>0</v>
      </c>
    </row>
    <row r="128" spans="1:15" ht="15.75" customHeight="1" x14ac:dyDescent="0.2">
      <c r="A128" s="42"/>
      <c r="B128" s="42"/>
      <c r="C128" s="14" t="s">
        <v>1</v>
      </c>
      <c r="D128" s="20">
        <f t="shared" ref="D128:D133" si="47">E128+F128+G128+H128+I128+J128+K128+L128+M128+N128+O128</f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</row>
    <row r="129" spans="1:15" ht="15.75" x14ac:dyDescent="0.2">
      <c r="A129" s="42"/>
      <c r="B129" s="42"/>
      <c r="C129" s="14" t="s">
        <v>2</v>
      </c>
      <c r="D129" s="20">
        <f t="shared" si="47"/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</row>
    <row r="130" spans="1:15" ht="31.5" x14ac:dyDescent="0.2">
      <c r="A130" s="42"/>
      <c r="B130" s="42"/>
      <c r="C130" s="14" t="s">
        <v>24</v>
      </c>
      <c r="D130" s="20">
        <f t="shared" si="47"/>
        <v>24740</v>
      </c>
      <c r="E130" s="20">
        <v>12370</v>
      </c>
      <c r="F130" s="15">
        <v>12370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</row>
    <row r="131" spans="1:15" ht="31.5" x14ac:dyDescent="0.2">
      <c r="A131" s="42"/>
      <c r="B131" s="42"/>
      <c r="C131" s="12" t="s">
        <v>71</v>
      </c>
      <c r="D131" s="20">
        <f t="shared" si="47"/>
        <v>12370</v>
      </c>
      <c r="E131" s="22">
        <v>0</v>
      </c>
      <c r="F131" s="13">
        <v>12370</v>
      </c>
      <c r="G131" s="13">
        <v>0</v>
      </c>
      <c r="H131" s="13">
        <v>0</v>
      </c>
      <c r="I131" s="13">
        <v>0</v>
      </c>
      <c r="J131" s="13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</row>
    <row r="132" spans="1:15" ht="49.5" customHeight="1" x14ac:dyDescent="0.2">
      <c r="A132" s="42"/>
      <c r="B132" s="42"/>
      <c r="C132" s="12" t="s">
        <v>25</v>
      </c>
      <c r="D132" s="22">
        <f t="shared" si="47"/>
        <v>12370</v>
      </c>
      <c r="E132" s="22">
        <v>0</v>
      </c>
      <c r="F132" s="13">
        <v>12370</v>
      </c>
      <c r="G132" s="13">
        <v>0</v>
      </c>
      <c r="H132" s="13">
        <v>0</v>
      </c>
      <c r="I132" s="13">
        <v>0</v>
      </c>
      <c r="J132" s="13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</row>
    <row r="133" spans="1:15" ht="19.5" customHeight="1" x14ac:dyDescent="0.2">
      <c r="A133" s="42"/>
      <c r="B133" s="42"/>
      <c r="C133" s="14" t="s">
        <v>4</v>
      </c>
      <c r="D133" s="20">
        <f t="shared" si="47"/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</row>
    <row r="134" spans="1:15" ht="15.75" x14ac:dyDescent="0.2">
      <c r="A134" s="42" t="s">
        <v>40</v>
      </c>
      <c r="B134" s="42" t="s">
        <v>64</v>
      </c>
      <c r="C134" s="14" t="s">
        <v>92</v>
      </c>
      <c r="D134" s="20">
        <f t="shared" ref="D134:D157" si="48">E134+F134+G134+H134+I134+J134+K134+L134+M134+N134+O134</f>
        <v>3484.4</v>
      </c>
      <c r="E134" s="15">
        <f>E135+E136+E137+E138</f>
        <v>0</v>
      </c>
      <c r="F134" s="15">
        <f t="shared" ref="F134:O134" si="49">F135+F136+F137+F138</f>
        <v>3484.4</v>
      </c>
      <c r="G134" s="15">
        <f t="shared" si="49"/>
        <v>0</v>
      </c>
      <c r="H134" s="15">
        <f t="shared" si="49"/>
        <v>0</v>
      </c>
      <c r="I134" s="15">
        <f t="shared" si="49"/>
        <v>0</v>
      </c>
      <c r="J134" s="15">
        <f t="shared" si="49"/>
        <v>0</v>
      </c>
      <c r="K134" s="15">
        <f t="shared" si="49"/>
        <v>0</v>
      </c>
      <c r="L134" s="15">
        <f t="shared" si="49"/>
        <v>0</v>
      </c>
      <c r="M134" s="15">
        <f t="shared" si="49"/>
        <v>0</v>
      </c>
      <c r="N134" s="15">
        <f t="shared" si="49"/>
        <v>0</v>
      </c>
      <c r="O134" s="15">
        <f t="shared" si="49"/>
        <v>0</v>
      </c>
    </row>
    <row r="135" spans="1:15" ht="15.75" x14ac:dyDescent="0.2">
      <c r="A135" s="42"/>
      <c r="B135" s="42"/>
      <c r="C135" s="14" t="s">
        <v>1</v>
      </c>
      <c r="D135" s="20">
        <f t="shared" si="48"/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</row>
    <row r="136" spans="1:15" ht="15.75" x14ac:dyDescent="0.2">
      <c r="A136" s="42"/>
      <c r="B136" s="42"/>
      <c r="C136" s="14" t="s">
        <v>2</v>
      </c>
      <c r="D136" s="20">
        <f t="shared" si="48"/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</row>
    <row r="137" spans="1:15" ht="15.75" x14ac:dyDescent="0.2">
      <c r="A137" s="42"/>
      <c r="B137" s="42"/>
      <c r="C137" s="14" t="s">
        <v>3</v>
      </c>
      <c r="D137" s="20">
        <f t="shared" si="48"/>
        <v>3484.4</v>
      </c>
      <c r="E137" s="15">
        <v>0</v>
      </c>
      <c r="F137" s="20">
        <v>3484.4</v>
      </c>
      <c r="G137" s="20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</row>
    <row r="138" spans="1:15" ht="16.5" customHeight="1" x14ac:dyDescent="0.2">
      <c r="A138" s="42"/>
      <c r="B138" s="42"/>
      <c r="C138" s="14" t="s">
        <v>4</v>
      </c>
      <c r="D138" s="20">
        <f t="shared" si="48"/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</row>
    <row r="139" spans="1:15" ht="15.75" x14ac:dyDescent="0.2">
      <c r="A139" s="42" t="s">
        <v>41</v>
      </c>
      <c r="B139" s="42" t="s">
        <v>19</v>
      </c>
      <c r="C139" s="14" t="s">
        <v>92</v>
      </c>
      <c r="D139" s="20">
        <f t="shared" si="48"/>
        <v>18958.740000000002</v>
      </c>
      <c r="E139" s="20">
        <f>E140+E141+E142+E143</f>
        <v>7047.2000000000007</v>
      </c>
      <c r="F139" s="20">
        <f>F140+F141+F142+F143</f>
        <v>4708.54</v>
      </c>
      <c r="G139" s="20">
        <f t="shared" ref="G139:O139" si="50">G140+G141+G142+G143</f>
        <v>2751.9</v>
      </c>
      <c r="H139" s="20">
        <f t="shared" si="50"/>
        <v>3429.9</v>
      </c>
      <c r="I139" s="20">
        <f t="shared" si="50"/>
        <v>530.20000000000005</v>
      </c>
      <c r="J139" s="20">
        <f t="shared" si="50"/>
        <v>491</v>
      </c>
      <c r="K139" s="20">
        <f t="shared" si="50"/>
        <v>0</v>
      </c>
      <c r="L139" s="20">
        <f t="shared" si="50"/>
        <v>0</v>
      </c>
      <c r="M139" s="20">
        <f t="shared" si="50"/>
        <v>0</v>
      </c>
      <c r="N139" s="20">
        <f t="shared" si="50"/>
        <v>0</v>
      </c>
      <c r="O139" s="20">
        <f t="shared" si="50"/>
        <v>0</v>
      </c>
    </row>
    <row r="140" spans="1:15" ht="18.75" customHeight="1" x14ac:dyDescent="0.2">
      <c r="A140" s="42"/>
      <c r="B140" s="42"/>
      <c r="C140" s="14" t="s">
        <v>1</v>
      </c>
      <c r="D140" s="20">
        <f t="shared" si="48"/>
        <v>4435.8999999999996</v>
      </c>
      <c r="E140" s="20">
        <v>3757.6</v>
      </c>
      <c r="F140" s="15">
        <v>678.3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</row>
    <row r="141" spans="1:15" ht="18.75" customHeight="1" x14ac:dyDescent="0.2">
      <c r="A141" s="42"/>
      <c r="B141" s="42"/>
      <c r="C141" s="14" t="s">
        <v>2</v>
      </c>
      <c r="D141" s="20">
        <f t="shared" si="48"/>
        <v>1296.6400000000001</v>
      </c>
      <c r="E141" s="20">
        <v>1217.7</v>
      </c>
      <c r="F141" s="15">
        <v>78.94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</row>
    <row r="142" spans="1:15" ht="18.75" customHeight="1" x14ac:dyDescent="0.2">
      <c r="A142" s="42"/>
      <c r="B142" s="42"/>
      <c r="C142" s="14" t="s">
        <v>3</v>
      </c>
      <c r="D142" s="20">
        <f t="shared" si="48"/>
        <v>13226.2</v>
      </c>
      <c r="E142" s="20">
        <v>2071.9</v>
      </c>
      <c r="F142" s="20">
        <v>3951.3</v>
      </c>
      <c r="G142" s="20">
        <v>2751.9</v>
      </c>
      <c r="H142" s="20">
        <v>3429.9</v>
      </c>
      <c r="I142" s="20">
        <f>1500-969.8</f>
        <v>530.20000000000005</v>
      </c>
      <c r="J142" s="20">
        <f>2101.9-1610.9</f>
        <v>491</v>
      </c>
      <c r="K142" s="20">
        <v>0</v>
      </c>
      <c r="L142" s="20">
        <v>0</v>
      </c>
      <c r="M142" s="20">
        <v>0</v>
      </c>
      <c r="N142" s="20">
        <v>0</v>
      </c>
      <c r="O142" s="20">
        <f>4332.5-4332.5</f>
        <v>0</v>
      </c>
    </row>
    <row r="143" spans="1:15" ht="27.75" customHeight="1" x14ac:dyDescent="0.2">
      <c r="A143" s="42"/>
      <c r="B143" s="42"/>
      <c r="C143" s="14" t="s">
        <v>4</v>
      </c>
      <c r="D143" s="20">
        <f t="shared" si="48"/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</row>
    <row r="144" spans="1:15" ht="24" customHeight="1" x14ac:dyDescent="0.2">
      <c r="A144" s="42" t="s">
        <v>91</v>
      </c>
      <c r="B144" s="42" t="s">
        <v>79</v>
      </c>
      <c r="C144" s="14" t="s">
        <v>92</v>
      </c>
      <c r="D144" s="20">
        <f t="shared" si="48"/>
        <v>1708.8</v>
      </c>
      <c r="E144" s="20">
        <f>E145+E146+E147+E148</f>
        <v>0</v>
      </c>
      <c r="F144" s="20">
        <f>F145+F146+F147+F148</f>
        <v>0</v>
      </c>
      <c r="G144" s="20">
        <f t="shared" ref="G144:O144" si="51">G145+G146+G147+G148</f>
        <v>0</v>
      </c>
      <c r="H144" s="20">
        <f t="shared" si="51"/>
        <v>0</v>
      </c>
      <c r="I144" s="20">
        <f t="shared" si="51"/>
        <v>1708.8</v>
      </c>
      <c r="J144" s="20">
        <f t="shared" si="51"/>
        <v>0</v>
      </c>
      <c r="K144" s="20">
        <f t="shared" si="51"/>
        <v>0</v>
      </c>
      <c r="L144" s="20">
        <f t="shared" si="51"/>
        <v>0</v>
      </c>
      <c r="M144" s="20">
        <f t="shared" si="51"/>
        <v>0</v>
      </c>
      <c r="N144" s="20">
        <f t="shared" si="51"/>
        <v>0</v>
      </c>
      <c r="O144" s="20">
        <f t="shared" si="51"/>
        <v>0</v>
      </c>
    </row>
    <row r="145" spans="1:15" ht="18.75" customHeight="1" x14ac:dyDescent="0.2">
      <c r="A145" s="42"/>
      <c r="B145" s="42"/>
      <c r="C145" s="14" t="s">
        <v>1</v>
      </c>
      <c r="D145" s="20">
        <f t="shared" si="48"/>
        <v>0</v>
      </c>
      <c r="E145" s="20">
        <v>0</v>
      </c>
      <c r="F145" s="20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</row>
    <row r="146" spans="1:15" ht="18.75" customHeight="1" x14ac:dyDescent="0.2">
      <c r="A146" s="42"/>
      <c r="B146" s="42"/>
      <c r="C146" s="14" t="s">
        <v>2</v>
      </c>
      <c r="D146" s="20">
        <f t="shared" si="48"/>
        <v>1708.8</v>
      </c>
      <c r="E146" s="20">
        <v>0</v>
      </c>
      <c r="F146" s="20">
        <v>0</v>
      </c>
      <c r="G146" s="15">
        <v>0</v>
      </c>
      <c r="H146" s="15">
        <v>0</v>
      </c>
      <c r="I146" s="15">
        <v>1708.8</v>
      </c>
      <c r="J146" s="15">
        <f>2101.9-2101.9</f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</row>
    <row r="147" spans="1:15" ht="18.75" customHeight="1" x14ac:dyDescent="0.2">
      <c r="A147" s="42"/>
      <c r="B147" s="42"/>
      <c r="C147" s="14" t="s">
        <v>3</v>
      </c>
      <c r="D147" s="20">
        <f t="shared" si="48"/>
        <v>0</v>
      </c>
      <c r="E147" s="20"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</row>
    <row r="148" spans="1:15" ht="82.5" customHeight="1" x14ac:dyDescent="0.2">
      <c r="A148" s="42"/>
      <c r="B148" s="42"/>
      <c r="C148" s="14" t="s">
        <v>4</v>
      </c>
      <c r="D148" s="20">
        <f t="shared" si="48"/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</row>
    <row r="149" spans="1:15" ht="15.75" customHeight="1" x14ac:dyDescent="0.2">
      <c r="A149" s="42" t="s">
        <v>54</v>
      </c>
      <c r="B149" s="42" t="s">
        <v>62</v>
      </c>
      <c r="C149" s="14" t="s">
        <v>92</v>
      </c>
      <c r="D149" s="23">
        <f t="shared" si="48"/>
        <v>200</v>
      </c>
      <c r="E149" s="23">
        <f t="shared" ref="E149:O149" si="52">E150+E151+E152+E153</f>
        <v>0</v>
      </c>
      <c r="F149" s="23">
        <f t="shared" si="52"/>
        <v>200</v>
      </c>
      <c r="G149" s="23">
        <f t="shared" si="52"/>
        <v>0</v>
      </c>
      <c r="H149" s="23">
        <f t="shared" si="52"/>
        <v>0</v>
      </c>
      <c r="I149" s="23">
        <f t="shared" si="52"/>
        <v>0</v>
      </c>
      <c r="J149" s="23">
        <f t="shared" si="52"/>
        <v>0</v>
      </c>
      <c r="K149" s="23">
        <f t="shared" si="52"/>
        <v>0</v>
      </c>
      <c r="L149" s="23">
        <f t="shared" si="52"/>
        <v>0</v>
      </c>
      <c r="M149" s="23">
        <f t="shared" si="52"/>
        <v>0</v>
      </c>
      <c r="N149" s="23">
        <f t="shared" si="52"/>
        <v>0</v>
      </c>
      <c r="O149" s="23">
        <f t="shared" si="52"/>
        <v>0</v>
      </c>
    </row>
    <row r="150" spans="1:15" ht="15.75" x14ac:dyDescent="0.2">
      <c r="A150" s="42"/>
      <c r="B150" s="50"/>
      <c r="C150" s="14" t="s">
        <v>1</v>
      </c>
      <c r="D150" s="23">
        <f t="shared" si="48"/>
        <v>140</v>
      </c>
      <c r="E150" s="23">
        <v>0</v>
      </c>
      <c r="F150" s="15">
        <v>140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</row>
    <row r="151" spans="1:15" ht="15.75" x14ac:dyDescent="0.2">
      <c r="A151" s="42"/>
      <c r="B151" s="50"/>
      <c r="C151" s="14" t="s">
        <v>2</v>
      </c>
      <c r="D151" s="23">
        <f t="shared" si="48"/>
        <v>0</v>
      </c>
      <c r="E151" s="23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</row>
    <row r="152" spans="1:15" ht="15.75" x14ac:dyDescent="0.2">
      <c r="A152" s="42"/>
      <c r="B152" s="50"/>
      <c r="C152" s="14" t="s">
        <v>3</v>
      </c>
      <c r="D152" s="23">
        <f t="shared" si="48"/>
        <v>60</v>
      </c>
      <c r="E152" s="23">
        <v>0</v>
      </c>
      <c r="F152" s="23">
        <v>60</v>
      </c>
      <c r="G152" s="23">
        <v>0</v>
      </c>
      <c r="H152" s="23">
        <v>0</v>
      </c>
      <c r="I152" s="23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</row>
    <row r="153" spans="1:15" ht="14.25" customHeight="1" x14ac:dyDescent="0.2">
      <c r="A153" s="42"/>
      <c r="B153" s="50"/>
      <c r="C153" s="14" t="s">
        <v>4</v>
      </c>
      <c r="D153" s="23">
        <f t="shared" si="48"/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75" x14ac:dyDescent="0.2">
      <c r="A154" s="42" t="s">
        <v>55</v>
      </c>
      <c r="B154" s="42" t="s">
        <v>75</v>
      </c>
      <c r="C154" s="14" t="s">
        <v>92</v>
      </c>
      <c r="D154" s="20">
        <f t="shared" si="48"/>
        <v>10709.9</v>
      </c>
      <c r="E154" s="20">
        <f t="shared" ref="E154:O154" si="53">E155+E156+E157+E159</f>
        <v>0</v>
      </c>
      <c r="F154" s="20">
        <f t="shared" si="53"/>
        <v>0</v>
      </c>
      <c r="G154" s="20">
        <f t="shared" si="53"/>
        <v>0</v>
      </c>
      <c r="H154" s="20">
        <f t="shared" si="53"/>
        <v>2290.1</v>
      </c>
      <c r="I154" s="20">
        <f t="shared" si="53"/>
        <v>4209.8999999999996</v>
      </c>
      <c r="J154" s="20">
        <f t="shared" si="53"/>
        <v>4209.8999999999996</v>
      </c>
      <c r="K154" s="20">
        <f t="shared" si="53"/>
        <v>0</v>
      </c>
      <c r="L154" s="20">
        <f t="shared" si="53"/>
        <v>0</v>
      </c>
      <c r="M154" s="20">
        <f t="shared" si="53"/>
        <v>0</v>
      </c>
      <c r="N154" s="20">
        <f t="shared" si="53"/>
        <v>0</v>
      </c>
      <c r="O154" s="20">
        <f t="shared" si="53"/>
        <v>0</v>
      </c>
    </row>
    <row r="155" spans="1:15" ht="15.75" x14ac:dyDescent="0.2">
      <c r="A155" s="42"/>
      <c r="B155" s="50"/>
      <c r="C155" s="14" t="s">
        <v>1</v>
      </c>
      <c r="D155" s="23">
        <f t="shared" si="48"/>
        <v>0</v>
      </c>
      <c r="E155" s="23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</row>
    <row r="156" spans="1:15" ht="15.75" x14ac:dyDescent="0.2">
      <c r="A156" s="42"/>
      <c r="B156" s="50"/>
      <c r="C156" s="14" t="s">
        <v>2</v>
      </c>
      <c r="D156" s="23">
        <f t="shared" si="48"/>
        <v>0</v>
      </c>
      <c r="E156" s="23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</row>
    <row r="157" spans="1:15" ht="15.75" x14ac:dyDescent="0.2">
      <c r="A157" s="42"/>
      <c r="B157" s="50"/>
      <c r="C157" s="14" t="s">
        <v>3</v>
      </c>
      <c r="D157" s="20">
        <f t="shared" si="48"/>
        <v>10709.9</v>
      </c>
      <c r="E157" s="20">
        <v>0</v>
      </c>
      <c r="F157" s="20">
        <v>0</v>
      </c>
      <c r="G157" s="20">
        <v>0</v>
      </c>
      <c r="H157" s="20">
        <v>2290.1</v>
      </c>
      <c r="I157" s="20">
        <v>4209.8999999999996</v>
      </c>
      <c r="J157" s="20">
        <v>4209.8999999999996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</row>
    <row r="158" spans="1:15" ht="31.5" x14ac:dyDescent="0.2">
      <c r="A158" s="42"/>
      <c r="B158" s="50"/>
      <c r="C158" s="12" t="s">
        <v>71</v>
      </c>
      <c r="D158" s="22">
        <f>E158+F158+G158+H158+I158+J158+K158</f>
        <v>4209.8999999999996</v>
      </c>
      <c r="E158" s="22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4209.8999999999996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</row>
    <row r="159" spans="1:15" ht="21.75" customHeight="1" x14ac:dyDescent="0.2">
      <c r="A159" s="42"/>
      <c r="B159" s="50"/>
      <c r="C159" s="14" t="s">
        <v>4</v>
      </c>
      <c r="D159" s="23">
        <f>E159+F159+G159+H159+I159+J159+K159+L159+M159+N159+O159</f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</row>
    <row r="160" spans="1:15" ht="15.75" x14ac:dyDescent="0.2">
      <c r="A160" s="42" t="s">
        <v>61</v>
      </c>
      <c r="B160" s="42" t="s">
        <v>119</v>
      </c>
      <c r="C160" s="14" t="s">
        <v>92</v>
      </c>
      <c r="D160" s="20">
        <f>D161+D162+D164+D167</f>
        <v>3865221.5999999996</v>
      </c>
      <c r="E160" s="15">
        <f>E161+E162+E164+E167</f>
        <v>0</v>
      </c>
      <c r="F160" s="15">
        <f t="shared" ref="F160:O160" si="54">F161+F162+F164+F167</f>
        <v>0</v>
      </c>
      <c r="G160" s="15">
        <f t="shared" si="54"/>
        <v>416327.3</v>
      </c>
      <c r="H160" s="15">
        <f t="shared" si="54"/>
        <v>321908.5</v>
      </c>
      <c r="I160" s="15">
        <f t="shared" si="54"/>
        <v>190074.30000000002</v>
      </c>
      <c r="J160" s="15">
        <f t="shared" si="54"/>
        <v>645327.29999999993</v>
      </c>
      <c r="K160" s="15">
        <f t="shared" si="54"/>
        <v>829996.9</v>
      </c>
      <c r="L160" s="15">
        <f t="shared" si="54"/>
        <v>713502.4</v>
      </c>
      <c r="M160" s="15">
        <f t="shared" si="54"/>
        <v>493711.49999999994</v>
      </c>
      <c r="N160" s="15">
        <f t="shared" si="54"/>
        <v>179837.5</v>
      </c>
      <c r="O160" s="15">
        <f t="shared" si="54"/>
        <v>74535.900000000009</v>
      </c>
    </row>
    <row r="161" spans="1:16" ht="15.75" x14ac:dyDescent="0.2">
      <c r="A161" s="42"/>
      <c r="B161" s="42"/>
      <c r="C161" s="14" t="s">
        <v>1</v>
      </c>
      <c r="D161" s="20">
        <f t="shared" ref="D161:D258" si="55">E161+F161+G161+H161+I161+J161+K161+L161+M161+N161+O161</f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1"/>
    </row>
    <row r="162" spans="1:16" ht="31.5" x14ac:dyDescent="0.2">
      <c r="A162" s="42"/>
      <c r="B162" s="42"/>
      <c r="C162" s="14" t="s">
        <v>23</v>
      </c>
      <c r="D162" s="20">
        <f t="shared" si="55"/>
        <v>3561917.5999999996</v>
      </c>
      <c r="E162" s="15">
        <v>0</v>
      </c>
      <c r="F162" s="15">
        <v>0</v>
      </c>
      <c r="G162" s="15">
        <v>342311</v>
      </c>
      <c r="H162" s="15">
        <v>304123.2</v>
      </c>
      <c r="I162" s="15">
        <v>173573.1</v>
      </c>
      <c r="J162" s="15">
        <f>532126.2+17347.6+3478.6-28555+77738.5</f>
        <v>602135.89999999991</v>
      </c>
      <c r="K162" s="15">
        <v>778545.9</v>
      </c>
      <c r="L162" s="25">
        <f>641707.6+1703.3+26978.8</f>
        <v>670389.70000000007</v>
      </c>
      <c r="M162" s="41">
        <f>281216.2+0.1-204033.2+205095.7+23875.8+45000+0.1+99934.1+13000</f>
        <v>464088.79999999993</v>
      </c>
      <c r="N162" s="25">
        <f>60724.2+105301.6</f>
        <v>166025.79999999999</v>
      </c>
      <c r="O162" s="25">
        <f>40811.2+177322-157409</f>
        <v>60724.200000000012</v>
      </c>
    </row>
    <row r="163" spans="1:16" ht="31.5" x14ac:dyDescent="0.2">
      <c r="A163" s="42"/>
      <c r="B163" s="42"/>
      <c r="C163" s="16" t="s">
        <v>142</v>
      </c>
      <c r="D163" s="20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5">
        <v>35791.300000000003</v>
      </c>
      <c r="N163" s="25">
        <v>0</v>
      </c>
      <c r="O163" s="25">
        <v>0</v>
      </c>
    </row>
    <row r="164" spans="1:16" ht="31.5" x14ac:dyDescent="0.2">
      <c r="A164" s="42"/>
      <c r="B164" s="42"/>
      <c r="C164" s="14" t="s">
        <v>24</v>
      </c>
      <c r="D164" s="20">
        <f t="shared" si="55"/>
        <v>303304.00000000006</v>
      </c>
      <c r="E164" s="15">
        <v>0</v>
      </c>
      <c r="F164" s="15">
        <v>0</v>
      </c>
      <c r="G164" s="15">
        <v>74016.3</v>
      </c>
      <c r="H164" s="15">
        <f>16032.1+1753.2</f>
        <v>17785.3</v>
      </c>
      <c r="I164" s="15">
        <f>12055.3+480+1369+191+1877.7+528.2</f>
        <v>16501.2</v>
      </c>
      <c r="J164" s="15">
        <f>39140.3+1107.3+222+2721.8</f>
        <v>43191.400000000009</v>
      </c>
      <c r="K164" s="15">
        <v>51451</v>
      </c>
      <c r="L164" s="15">
        <f>40960.1+321.9+108.7+1722</f>
        <v>43112.7</v>
      </c>
      <c r="M164" s="40">
        <f>17950+67.8+25399.8-25399.8+1524+2872.3+6378.8+829.8</f>
        <v>29622.699999999997</v>
      </c>
      <c r="N164" s="15">
        <f>2605+11318.4-111.7</f>
        <v>13811.699999999999</v>
      </c>
      <c r="O164" s="15">
        <f>2605+11318.4-111.7</f>
        <v>13811.699999999999</v>
      </c>
      <c r="P164" s="11"/>
    </row>
    <row r="165" spans="1:16" ht="51.75" customHeight="1" x14ac:dyDescent="0.2">
      <c r="A165" s="42"/>
      <c r="B165" s="42"/>
      <c r="C165" s="12" t="s">
        <v>25</v>
      </c>
      <c r="D165" s="22">
        <f t="shared" si="55"/>
        <v>1800.8</v>
      </c>
      <c r="E165" s="13">
        <v>0</v>
      </c>
      <c r="F165" s="13">
        <v>0</v>
      </c>
      <c r="G165" s="13">
        <v>47.6</v>
      </c>
      <c r="H165" s="13">
        <v>1753.2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</row>
    <row r="166" spans="1:16" ht="51.75" customHeight="1" x14ac:dyDescent="0.2">
      <c r="A166" s="42"/>
      <c r="B166" s="42"/>
      <c r="C166" s="16" t="s">
        <v>71</v>
      </c>
      <c r="D166" s="20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13">
        <v>2284.5</v>
      </c>
      <c r="N166" s="13">
        <v>0</v>
      </c>
      <c r="O166" s="13">
        <v>0</v>
      </c>
    </row>
    <row r="167" spans="1:16" ht="17.25" customHeight="1" x14ac:dyDescent="0.2">
      <c r="A167" s="42"/>
      <c r="B167" s="42"/>
      <c r="C167" s="14" t="s">
        <v>4</v>
      </c>
      <c r="D167" s="20">
        <f t="shared" si="55"/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26">
        <v>0</v>
      </c>
      <c r="M167" s="27">
        <v>0</v>
      </c>
      <c r="N167" s="27">
        <v>0</v>
      </c>
      <c r="O167" s="27">
        <v>0</v>
      </c>
    </row>
    <row r="168" spans="1:16" ht="15.75" x14ac:dyDescent="0.2">
      <c r="A168" s="42" t="s">
        <v>63</v>
      </c>
      <c r="B168" s="42" t="s">
        <v>67</v>
      </c>
      <c r="C168" s="14" t="s">
        <v>92</v>
      </c>
      <c r="D168" s="20">
        <f t="shared" si="55"/>
        <v>987.5</v>
      </c>
      <c r="E168" s="15">
        <f>E169+E170+E171+E172</f>
        <v>0</v>
      </c>
      <c r="F168" s="15">
        <f t="shared" ref="F168:O168" si="56">F169+F170+F171+F172</f>
        <v>0</v>
      </c>
      <c r="G168" s="15">
        <f t="shared" si="56"/>
        <v>987.5</v>
      </c>
      <c r="H168" s="15">
        <f t="shared" si="56"/>
        <v>0</v>
      </c>
      <c r="I168" s="15">
        <f t="shared" si="56"/>
        <v>0</v>
      </c>
      <c r="J168" s="15">
        <f t="shared" si="56"/>
        <v>0</v>
      </c>
      <c r="K168" s="15">
        <f t="shared" si="56"/>
        <v>0</v>
      </c>
      <c r="L168" s="15">
        <f t="shared" si="56"/>
        <v>0</v>
      </c>
      <c r="M168" s="15">
        <f t="shared" si="56"/>
        <v>0</v>
      </c>
      <c r="N168" s="15">
        <f t="shared" si="56"/>
        <v>0</v>
      </c>
      <c r="O168" s="15">
        <f t="shared" si="56"/>
        <v>0</v>
      </c>
    </row>
    <row r="169" spans="1:16" ht="15.75" x14ac:dyDescent="0.2">
      <c r="A169" s="42"/>
      <c r="B169" s="42"/>
      <c r="C169" s="14" t="s">
        <v>1</v>
      </c>
      <c r="D169" s="20">
        <f t="shared" si="55"/>
        <v>794.3</v>
      </c>
      <c r="E169" s="15">
        <v>0</v>
      </c>
      <c r="F169" s="15">
        <v>0</v>
      </c>
      <c r="G169" s="15">
        <v>794.3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</row>
    <row r="170" spans="1:16" ht="15.75" x14ac:dyDescent="0.2">
      <c r="A170" s="42"/>
      <c r="B170" s="42"/>
      <c r="C170" s="14" t="s">
        <v>2</v>
      </c>
      <c r="D170" s="20">
        <f t="shared" si="55"/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</row>
    <row r="171" spans="1:16" ht="15.75" x14ac:dyDescent="0.2">
      <c r="A171" s="42"/>
      <c r="B171" s="42"/>
      <c r="C171" s="14" t="s">
        <v>3</v>
      </c>
      <c r="D171" s="20">
        <f t="shared" si="55"/>
        <v>193.2</v>
      </c>
      <c r="E171" s="15">
        <v>0</v>
      </c>
      <c r="F171" s="15">
        <v>0</v>
      </c>
      <c r="G171" s="15">
        <v>193.2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</row>
    <row r="172" spans="1:16" ht="35.25" customHeight="1" x14ac:dyDescent="0.2">
      <c r="A172" s="42"/>
      <c r="B172" s="42"/>
      <c r="C172" s="14" t="s">
        <v>4</v>
      </c>
      <c r="D172" s="20">
        <f t="shared" si="55"/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</row>
    <row r="173" spans="1:16" ht="15.75" x14ac:dyDescent="0.2">
      <c r="A173" s="42" t="s">
        <v>73</v>
      </c>
      <c r="B173" s="44" t="s">
        <v>69</v>
      </c>
      <c r="C173" s="14" t="s">
        <v>92</v>
      </c>
      <c r="D173" s="20">
        <f t="shared" si="55"/>
        <v>35</v>
      </c>
      <c r="E173" s="15">
        <f>E174+E175+E176+E177</f>
        <v>0</v>
      </c>
      <c r="F173" s="15">
        <f t="shared" ref="F173:O173" si="57">F174+F175+F176+F177</f>
        <v>0</v>
      </c>
      <c r="G173" s="15">
        <f t="shared" si="57"/>
        <v>35</v>
      </c>
      <c r="H173" s="15">
        <f t="shared" si="57"/>
        <v>0</v>
      </c>
      <c r="I173" s="15">
        <f t="shared" si="57"/>
        <v>0</v>
      </c>
      <c r="J173" s="15">
        <f t="shared" si="57"/>
        <v>0</v>
      </c>
      <c r="K173" s="15">
        <f t="shared" si="57"/>
        <v>0</v>
      </c>
      <c r="L173" s="15">
        <f t="shared" si="57"/>
        <v>0</v>
      </c>
      <c r="M173" s="15">
        <f t="shared" si="57"/>
        <v>0</v>
      </c>
      <c r="N173" s="15">
        <f t="shared" si="57"/>
        <v>0</v>
      </c>
      <c r="O173" s="15">
        <f t="shared" si="57"/>
        <v>0</v>
      </c>
    </row>
    <row r="174" spans="1:16" ht="15.75" x14ac:dyDescent="0.2">
      <c r="A174" s="42"/>
      <c r="B174" s="45"/>
      <c r="C174" s="14" t="s">
        <v>1</v>
      </c>
      <c r="D174" s="20">
        <f t="shared" si="55"/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</row>
    <row r="175" spans="1:16" ht="15.75" x14ac:dyDescent="0.2">
      <c r="A175" s="42"/>
      <c r="B175" s="45"/>
      <c r="C175" s="14" t="s">
        <v>2</v>
      </c>
      <c r="D175" s="20">
        <f t="shared" si="55"/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</row>
    <row r="176" spans="1:16" ht="15.75" x14ac:dyDescent="0.2">
      <c r="A176" s="42"/>
      <c r="B176" s="45"/>
      <c r="C176" s="14" t="s">
        <v>3</v>
      </c>
      <c r="D176" s="20">
        <f t="shared" si="55"/>
        <v>35</v>
      </c>
      <c r="E176" s="15">
        <v>0</v>
      </c>
      <c r="F176" s="15">
        <v>0</v>
      </c>
      <c r="G176" s="15">
        <v>35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</row>
    <row r="177" spans="1:15" ht="18" customHeight="1" x14ac:dyDescent="0.2">
      <c r="A177" s="42"/>
      <c r="B177" s="46"/>
      <c r="C177" s="14" t="s">
        <v>4</v>
      </c>
      <c r="D177" s="20">
        <f t="shared" si="55"/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</row>
    <row r="178" spans="1:15" ht="15" customHeight="1" x14ac:dyDescent="0.2">
      <c r="A178" s="42" t="s">
        <v>80</v>
      </c>
      <c r="B178" s="42" t="s">
        <v>76</v>
      </c>
      <c r="C178" s="14" t="s">
        <v>92</v>
      </c>
      <c r="D178" s="20">
        <f t="shared" si="55"/>
        <v>6356.5</v>
      </c>
      <c r="E178" s="15">
        <f>E179+E180+E181+E182</f>
        <v>0</v>
      </c>
      <c r="F178" s="15">
        <f t="shared" ref="F178:O178" si="58">F179+F180+F181+F182</f>
        <v>0</v>
      </c>
      <c r="G178" s="15">
        <f t="shared" si="58"/>
        <v>0</v>
      </c>
      <c r="H178" s="15">
        <f t="shared" si="58"/>
        <v>532.5</v>
      </c>
      <c r="I178" s="15">
        <f t="shared" si="58"/>
        <v>563.69999999999993</v>
      </c>
      <c r="J178" s="15">
        <f t="shared" si="58"/>
        <v>5260.3</v>
      </c>
      <c r="K178" s="15">
        <f t="shared" si="58"/>
        <v>0</v>
      </c>
      <c r="L178" s="15">
        <f t="shared" si="58"/>
        <v>0</v>
      </c>
      <c r="M178" s="15">
        <f t="shared" si="58"/>
        <v>0</v>
      </c>
      <c r="N178" s="15">
        <f t="shared" si="58"/>
        <v>0</v>
      </c>
      <c r="O178" s="15">
        <f t="shared" si="58"/>
        <v>0</v>
      </c>
    </row>
    <row r="179" spans="1:15" ht="15.75" x14ac:dyDescent="0.2">
      <c r="A179" s="42"/>
      <c r="B179" s="42"/>
      <c r="C179" s="14" t="s">
        <v>1</v>
      </c>
      <c r="D179" s="20">
        <f t="shared" si="55"/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</row>
    <row r="180" spans="1:15" ht="15.75" x14ac:dyDescent="0.2">
      <c r="A180" s="42"/>
      <c r="B180" s="42"/>
      <c r="C180" s="14" t="s">
        <v>2</v>
      </c>
      <c r="D180" s="20">
        <f t="shared" si="55"/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</row>
    <row r="181" spans="1:15" ht="15.75" x14ac:dyDescent="0.2">
      <c r="A181" s="42"/>
      <c r="B181" s="42"/>
      <c r="C181" s="14" t="s">
        <v>3</v>
      </c>
      <c r="D181" s="20">
        <f t="shared" si="55"/>
        <v>6356.5</v>
      </c>
      <c r="E181" s="15">
        <v>0</v>
      </c>
      <c r="F181" s="15">
        <v>0</v>
      </c>
      <c r="G181" s="15">
        <v>0</v>
      </c>
      <c r="H181" s="15">
        <v>532.5</v>
      </c>
      <c r="I181" s="15">
        <f>1109.8-546.1</f>
        <v>563.69999999999993</v>
      </c>
      <c r="J181" s="15">
        <f>8100-85.7-2754</f>
        <v>5260.3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</row>
    <row r="182" spans="1:15" ht="16.5" customHeight="1" x14ac:dyDescent="0.2">
      <c r="A182" s="42"/>
      <c r="B182" s="42"/>
      <c r="C182" s="14" t="s">
        <v>4</v>
      </c>
      <c r="D182" s="20">
        <f t="shared" si="55"/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</row>
    <row r="183" spans="1:15" ht="15.75" x14ac:dyDescent="0.2">
      <c r="A183" s="42" t="s">
        <v>81</v>
      </c>
      <c r="B183" s="42" t="s">
        <v>122</v>
      </c>
      <c r="C183" s="14" t="s">
        <v>92</v>
      </c>
      <c r="D183" s="20">
        <f t="shared" si="55"/>
        <v>1442.8000000000002</v>
      </c>
      <c r="E183" s="15">
        <f>E184+E185+E186+E187</f>
        <v>0</v>
      </c>
      <c r="F183" s="15">
        <f t="shared" ref="F183:O183" si="59">F184+F185+F186+F187</f>
        <v>0</v>
      </c>
      <c r="G183" s="15">
        <f t="shared" si="59"/>
        <v>0</v>
      </c>
      <c r="H183" s="15">
        <f t="shared" si="59"/>
        <v>0</v>
      </c>
      <c r="I183" s="15">
        <f t="shared" si="59"/>
        <v>1442.8000000000002</v>
      </c>
      <c r="J183" s="15">
        <f t="shared" si="59"/>
        <v>0</v>
      </c>
      <c r="K183" s="15">
        <f t="shared" si="59"/>
        <v>0</v>
      </c>
      <c r="L183" s="15">
        <f t="shared" si="59"/>
        <v>0</v>
      </c>
      <c r="M183" s="15">
        <f t="shared" si="59"/>
        <v>0</v>
      </c>
      <c r="N183" s="15">
        <f t="shared" si="59"/>
        <v>0</v>
      </c>
      <c r="O183" s="15">
        <f t="shared" si="59"/>
        <v>0</v>
      </c>
    </row>
    <row r="184" spans="1:15" ht="15.75" x14ac:dyDescent="0.2">
      <c r="A184" s="42"/>
      <c r="B184" s="42"/>
      <c r="C184" s="14" t="s">
        <v>1</v>
      </c>
      <c r="D184" s="20">
        <f t="shared" si="55"/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</row>
    <row r="185" spans="1:15" ht="15.75" x14ac:dyDescent="0.2">
      <c r="A185" s="42"/>
      <c r="B185" s="42"/>
      <c r="C185" s="14" t="s">
        <v>2</v>
      </c>
      <c r="D185" s="20">
        <f t="shared" si="55"/>
        <v>1038.7</v>
      </c>
      <c r="E185" s="15">
        <v>0</v>
      </c>
      <c r="F185" s="15">
        <v>0</v>
      </c>
      <c r="G185" s="15">
        <v>0</v>
      </c>
      <c r="H185" s="15">
        <v>0</v>
      </c>
      <c r="I185" s="15">
        <f>613+425.7</f>
        <v>1038.7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</row>
    <row r="186" spans="1:15" ht="15.75" x14ac:dyDescent="0.2">
      <c r="A186" s="42"/>
      <c r="B186" s="42"/>
      <c r="C186" s="14" t="s">
        <v>3</v>
      </c>
      <c r="D186" s="20">
        <f t="shared" si="55"/>
        <v>404.1</v>
      </c>
      <c r="E186" s="15">
        <v>0</v>
      </c>
      <c r="F186" s="15">
        <v>0</v>
      </c>
      <c r="G186" s="15">
        <v>0</v>
      </c>
      <c r="H186" s="15">
        <v>0</v>
      </c>
      <c r="I186" s="15">
        <f>213.3+190.8</f>
        <v>404.1</v>
      </c>
      <c r="J186" s="15">
        <v>0</v>
      </c>
      <c r="K186" s="15">
        <v>0</v>
      </c>
      <c r="L186" s="15">
        <v>0</v>
      </c>
      <c r="M186" s="15">
        <f>319.5-319.5</f>
        <v>0</v>
      </c>
      <c r="N186" s="15">
        <v>0</v>
      </c>
      <c r="O186" s="15">
        <v>0</v>
      </c>
    </row>
    <row r="187" spans="1:15" ht="18" customHeight="1" x14ac:dyDescent="0.2">
      <c r="A187" s="42"/>
      <c r="B187" s="42"/>
      <c r="C187" s="14" t="s">
        <v>4</v>
      </c>
      <c r="D187" s="20">
        <f t="shared" si="55"/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</row>
    <row r="188" spans="1:15" ht="15.75" x14ac:dyDescent="0.2">
      <c r="A188" s="42" t="s">
        <v>82</v>
      </c>
      <c r="B188" s="42" t="s">
        <v>86</v>
      </c>
      <c r="C188" s="14" t="s">
        <v>92</v>
      </c>
      <c r="D188" s="20">
        <f t="shared" si="55"/>
        <v>100</v>
      </c>
      <c r="E188" s="15">
        <f>E189+E190+E191+E192</f>
        <v>0</v>
      </c>
      <c r="F188" s="15">
        <f t="shared" ref="F188:O188" si="60">F189+F190+F191+F192</f>
        <v>0</v>
      </c>
      <c r="G188" s="15">
        <f t="shared" si="60"/>
        <v>0</v>
      </c>
      <c r="H188" s="15">
        <f t="shared" si="60"/>
        <v>0</v>
      </c>
      <c r="I188" s="15">
        <f t="shared" si="60"/>
        <v>100</v>
      </c>
      <c r="J188" s="15">
        <f t="shared" si="60"/>
        <v>0</v>
      </c>
      <c r="K188" s="15">
        <f t="shared" si="60"/>
        <v>0</v>
      </c>
      <c r="L188" s="15">
        <f t="shared" si="60"/>
        <v>0</v>
      </c>
      <c r="M188" s="15">
        <f t="shared" si="60"/>
        <v>0</v>
      </c>
      <c r="N188" s="15">
        <f t="shared" si="60"/>
        <v>0</v>
      </c>
      <c r="O188" s="15">
        <f t="shared" si="60"/>
        <v>0</v>
      </c>
    </row>
    <row r="189" spans="1:15" ht="15.75" x14ac:dyDescent="0.2">
      <c r="A189" s="42"/>
      <c r="B189" s="42"/>
      <c r="C189" s="14" t="s">
        <v>1</v>
      </c>
      <c r="D189" s="20">
        <f t="shared" si="55"/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</row>
    <row r="190" spans="1:15" ht="15.75" x14ac:dyDescent="0.2">
      <c r="A190" s="42"/>
      <c r="B190" s="42"/>
      <c r="C190" s="14" t="s">
        <v>2</v>
      </c>
      <c r="D190" s="20">
        <f t="shared" si="55"/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</row>
    <row r="191" spans="1:15" ht="15.75" x14ac:dyDescent="0.2">
      <c r="A191" s="42"/>
      <c r="B191" s="42"/>
      <c r="C191" s="14" t="s">
        <v>3</v>
      </c>
      <c r="D191" s="20">
        <f t="shared" si="55"/>
        <v>100</v>
      </c>
      <c r="E191" s="15">
        <v>0</v>
      </c>
      <c r="F191" s="15">
        <v>0</v>
      </c>
      <c r="G191" s="15">
        <v>0</v>
      </c>
      <c r="H191" s="15">
        <v>0</v>
      </c>
      <c r="I191" s="15">
        <v>100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</row>
    <row r="192" spans="1:15" ht="17.25" customHeight="1" x14ac:dyDescent="0.2">
      <c r="A192" s="42"/>
      <c r="B192" s="42"/>
      <c r="C192" s="14" t="s">
        <v>4</v>
      </c>
      <c r="D192" s="20">
        <f t="shared" si="55"/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</row>
    <row r="193" spans="1:15" ht="21" customHeight="1" x14ac:dyDescent="0.2">
      <c r="A193" s="42" t="s">
        <v>105</v>
      </c>
      <c r="B193" s="42" t="s">
        <v>123</v>
      </c>
      <c r="C193" s="14" t="s">
        <v>92</v>
      </c>
      <c r="D193" s="20">
        <f t="shared" si="55"/>
        <v>1640</v>
      </c>
      <c r="E193" s="15">
        <f>E194+E195+E196+E197</f>
        <v>0</v>
      </c>
      <c r="F193" s="15">
        <f t="shared" ref="F193:O193" si="61">F194+F195+F196+F197</f>
        <v>0</v>
      </c>
      <c r="G193" s="15">
        <f t="shared" si="61"/>
        <v>0</v>
      </c>
      <c r="H193" s="15">
        <f t="shared" si="61"/>
        <v>0</v>
      </c>
      <c r="I193" s="15">
        <f t="shared" si="61"/>
        <v>0</v>
      </c>
      <c r="J193" s="15">
        <f t="shared" si="61"/>
        <v>665</v>
      </c>
      <c r="K193" s="15">
        <f t="shared" si="61"/>
        <v>340</v>
      </c>
      <c r="L193" s="15">
        <f t="shared" si="61"/>
        <v>0</v>
      </c>
      <c r="M193" s="15">
        <f t="shared" si="61"/>
        <v>635</v>
      </c>
      <c r="N193" s="15">
        <f t="shared" si="61"/>
        <v>0</v>
      </c>
      <c r="O193" s="15">
        <f t="shared" si="61"/>
        <v>0</v>
      </c>
    </row>
    <row r="194" spans="1:15" ht="21" customHeight="1" x14ac:dyDescent="0.2">
      <c r="A194" s="42"/>
      <c r="B194" s="42"/>
      <c r="C194" s="14" t="s">
        <v>1</v>
      </c>
      <c r="D194" s="20">
        <f t="shared" si="55"/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</row>
    <row r="195" spans="1:15" ht="21" customHeight="1" x14ac:dyDescent="0.2">
      <c r="A195" s="42"/>
      <c r="B195" s="42"/>
      <c r="C195" s="14" t="s">
        <v>2</v>
      </c>
      <c r="D195" s="20">
        <f t="shared" si="55"/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</row>
    <row r="196" spans="1:15" ht="21" customHeight="1" x14ac:dyDescent="0.2">
      <c r="A196" s="42"/>
      <c r="B196" s="42"/>
      <c r="C196" s="14" t="s">
        <v>3</v>
      </c>
      <c r="D196" s="20">
        <f t="shared" si="55"/>
        <v>1640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f>1700-1035</f>
        <v>665</v>
      </c>
      <c r="K196" s="15">
        <f>500-160</f>
        <v>340</v>
      </c>
      <c r="L196" s="15">
        <v>0</v>
      </c>
      <c r="M196" s="40">
        <f>25+350+150+110</f>
        <v>635</v>
      </c>
      <c r="N196" s="15">
        <v>0</v>
      </c>
      <c r="O196" s="15">
        <v>0</v>
      </c>
    </row>
    <row r="197" spans="1:15" ht="38.25" customHeight="1" x14ac:dyDescent="0.2">
      <c r="A197" s="42"/>
      <c r="B197" s="42"/>
      <c r="C197" s="14" t="s">
        <v>4</v>
      </c>
      <c r="D197" s="20">
        <f t="shared" si="55"/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</row>
    <row r="198" spans="1:15" ht="29.25" customHeight="1" x14ac:dyDescent="0.2">
      <c r="A198" s="42" t="s">
        <v>107</v>
      </c>
      <c r="B198" s="42" t="s">
        <v>109</v>
      </c>
      <c r="C198" s="14" t="s">
        <v>92</v>
      </c>
      <c r="D198" s="20">
        <f t="shared" si="55"/>
        <v>37146</v>
      </c>
      <c r="E198" s="15">
        <f>E199+E200+E201+E202</f>
        <v>0</v>
      </c>
      <c r="F198" s="15">
        <f t="shared" ref="F198:O198" si="62">F199+F200+F201+F202</f>
        <v>0</v>
      </c>
      <c r="G198" s="15">
        <f t="shared" si="62"/>
        <v>0</v>
      </c>
      <c r="H198" s="15">
        <f t="shared" si="62"/>
        <v>0</v>
      </c>
      <c r="I198" s="15">
        <f t="shared" si="62"/>
        <v>0</v>
      </c>
      <c r="J198" s="15">
        <f t="shared" si="62"/>
        <v>37146</v>
      </c>
      <c r="K198" s="15">
        <f t="shared" si="62"/>
        <v>0</v>
      </c>
      <c r="L198" s="15">
        <f t="shared" si="62"/>
        <v>0</v>
      </c>
      <c r="M198" s="15">
        <f t="shared" si="62"/>
        <v>0</v>
      </c>
      <c r="N198" s="15">
        <f t="shared" si="62"/>
        <v>0</v>
      </c>
      <c r="O198" s="15">
        <f t="shared" si="62"/>
        <v>0</v>
      </c>
    </row>
    <row r="199" spans="1:15" ht="15.75" customHeight="1" x14ac:dyDescent="0.2">
      <c r="A199" s="42"/>
      <c r="B199" s="42"/>
      <c r="C199" s="14" t="s">
        <v>1</v>
      </c>
      <c r="D199" s="20">
        <f t="shared" si="55"/>
        <v>36000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36000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</row>
    <row r="200" spans="1:15" ht="15.75" customHeight="1" x14ac:dyDescent="0.2">
      <c r="A200" s="42"/>
      <c r="B200" s="42"/>
      <c r="C200" s="14" t="s">
        <v>2</v>
      </c>
      <c r="D200" s="20">
        <f t="shared" si="55"/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</row>
    <row r="201" spans="1:15" ht="15.75" customHeight="1" x14ac:dyDescent="0.2">
      <c r="A201" s="42"/>
      <c r="B201" s="42"/>
      <c r="C201" s="14" t="s">
        <v>3</v>
      </c>
      <c r="D201" s="20">
        <f t="shared" si="55"/>
        <v>1146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1146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</row>
    <row r="202" spans="1:15" ht="84" customHeight="1" x14ac:dyDescent="0.2">
      <c r="A202" s="42"/>
      <c r="B202" s="42"/>
      <c r="C202" s="14" t="s">
        <v>4</v>
      </c>
      <c r="D202" s="20">
        <f t="shared" si="55"/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</row>
    <row r="203" spans="1:15" ht="15.75" hidden="1" x14ac:dyDescent="0.2">
      <c r="A203" s="42" t="s">
        <v>148</v>
      </c>
      <c r="B203" s="42" t="s">
        <v>110</v>
      </c>
      <c r="C203" s="14" t="s">
        <v>92</v>
      </c>
      <c r="D203" s="20">
        <f t="shared" si="55"/>
        <v>0</v>
      </c>
      <c r="E203" s="15">
        <f>E204+E205+E206+E207</f>
        <v>0</v>
      </c>
      <c r="F203" s="15">
        <f t="shared" ref="F203:O203" si="63">F204+F205+F206+F207</f>
        <v>0</v>
      </c>
      <c r="G203" s="15">
        <f t="shared" si="63"/>
        <v>0</v>
      </c>
      <c r="H203" s="15">
        <f t="shared" si="63"/>
        <v>0</v>
      </c>
      <c r="I203" s="15">
        <f t="shared" si="63"/>
        <v>0</v>
      </c>
      <c r="J203" s="15">
        <f t="shared" si="63"/>
        <v>0</v>
      </c>
      <c r="K203" s="15">
        <f t="shared" si="63"/>
        <v>0</v>
      </c>
      <c r="L203" s="15">
        <f t="shared" si="63"/>
        <v>0</v>
      </c>
      <c r="M203" s="15">
        <f t="shared" si="63"/>
        <v>0</v>
      </c>
      <c r="N203" s="15">
        <f t="shared" si="63"/>
        <v>0</v>
      </c>
      <c r="O203" s="15">
        <f t="shared" si="63"/>
        <v>0</v>
      </c>
    </row>
    <row r="204" spans="1:15" ht="15.75" hidden="1" customHeight="1" x14ac:dyDescent="0.2">
      <c r="A204" s="42"/>
      <c r="B204" s="42"/>
      <c r="C204" s="14" t="s">
        <v>1</v>
      </c>
      <c r="D204" s="20">
        <f t="shared" si="55"/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</row>
    <row r="205" spans="1:15" ht="19.5" hidden="1" customHeight="1" x14ac:dyDescent="0.2">
      <c r="A205" s="42"/>
      <c r="B205" s="42"/>
      <c r="C205" s="14" t="s">
        <v>2</v>
      </c>
      <c r="D205" s="20">
        <f t="shared" si="55"/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</row>
    <row r="206" spans="1:15" ht="15.75" hidden="1" customHeight="1" x14ac:dyDescent="0.2">
      <c r="A206" s="42"/>
      <c r="B206" s="42"/>
      <c r="C206" s="14" t="s">
        <v>3</v>
      </c>
      <c r="D206" s="20">
        <f t="shared" si="55"/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</row>
    <row r="207" spans="1:15" ht="15.75" hidden="1" customHeight="1" x14ac:dyDescent="0.2">
      <c r="A207" s="42"/>
      <c r="B207" s="42"/>
      <c r="C207" s="14" t="s">
        <v>4</v>
      </c>
      <c r="D207" s="20">
        <f t="shared" si="55"/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</row>
    <row r="208" spans="1:15" ht="15.75" hidden="1" x14ac:dyDescent="0.2">
      <c r="A208" s="42" t="s">
        <v>149</v>
      </c>
      <c r="B208" s="42" t="s">
        <v>113</v>
      </c>
      <c r="C208" s="14" t="s">
        <v>92</v>
      </c>
      <c r="D208" s="20">
        <f t="shared" ref="D208:D217" si="64">E208+F208+G208+H208+I208+J208+K208+L208+M208+N208+O208</f>
        <v>0</v>
      </c>
      <c r="E208" s="15">
        <f>E209+E210+E211+E212</f>
        <v>0</v>
      </c>
      <c r="F208" s="15">
        <f t="shared" ref="F208:O208" si="65">F209+F210+F211+F212</f>
        <v>0</v>
      </c>
      <c r="G208" s="15">
        <f t="shared" si="65"/>
        <v>0</v>
      </c>
      <c r="H208" s="15">
        <f t="shared" si="65"/>
        <v>0</v>
      </c>
      <c r="I208" s="15">
        <f t="shared" si="65"/>
        <v>0</v>
      </c>
      <c r="J208" s="15">
        <f t="shared" si="65"/>
        <v>0</v>
      </c>
      <c r="K208" s="15">
        <f t="shared" si="65"/>
        <v>0</v>
      </c>
      <c r="L208" s="15">
        <f t="shared" si="65"/>
        <v>0</v>
      </c>
      <c r="M208" s="15">
        <f t="shared" si="65"/>
        <v>0</v>
      </c>
      <c r="N208" s="15">
        <f t="shared" si="65"/>
        <v>0</v>
      </c>
      <c r="O208" s="15">
        <f t="shared" si="65"/>
        <v>0</v>
      </c>
    </row>
    <row r="209" spans="1:15" ht="15.75" hidden="1" customHeight="1" x14ac:dyDescent="0.2">
      <c r="A209" s="42"/>
      <c r="B209" s="42"/>
      <c r="C209" s="14" t="s">
        <v>1</v>
      </c>
      <c r="D209" s="20">
        <f t="shared" si="64"/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</row>
    <row r="210" spans="1:15" ht="15.75" hidden="1" customHeight="1" x14ac:dyDescent="0.2">
      <c r="A210" s="42"/>
      <c r="B210" s="42"/>
      <c r="C210" s="14" t="s">
        <v>2</v>
      </c>
      <c r="D210" s="20">
        <f t="shared" si="64"/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75" hidden="1" customHeight="1" x14ac:dyDescent="0.2">
      <c r="A211" s="42"/>
      <c r="B211" s="42"/>
      <c r="C211" s="14" t="s">
        <v>3</v>
      </c>
      <c r="D211" s="20">
        <f t="shared" si="64"/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f>12000-2475.9-1215.9-8308.2</f>
        <v>0</v>
      </c>
      <c r="L211" s="15">
        <v>0</v>
      </c>
      <c r="M211" s="15">
        <v>0</v>
      </c>
      <c r="N211" s="15">
        <v>0</v>
      </c>
      <c r="O211" s="15">
        <v>0</v>
      </c>
    </row>
    <row r="212" spans="1:15" ht="15.75" hidden="1" customHeight="1" x14ac:dyDescent="0.2">
      <c r="A212" s="42"/>
      <c r="B212" s="42"/>
      <c r="C212" s="14" t="s">
        <v>4</v>
      </c>
      <c r="D212" s="20">
        <f t="shared" si="64"/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</row>
    <row r="213" spans="1:15" ht="15.75" x14ac:dyDescent="0.2">
      <c r="A213" s="42" t="s">
        <v>154</v>
      </c>
      <c r="B213" s="42" t="s">
        <v>115</v>
      </c>
      <c r="C213" s="14" t="s">
        <v>92</v>
      </c>
      <c r="D213" s="20">
        <f t="shared" si="64"/>
        <v>46629</v>
      </c>
      <c r="E213" s="15">
        <f>E214+E215+E216+E217</f>
        <v>0</v>
      </c>
      <c r="F213" s="15">
        <f t="shared" ref="F213:O213" si="66">F214+F215+F216+F217</f>
        <v>0</v>
      </c>
      <c r="G213" s="15">
        <f t="shared" si="66"/>
        <v>0</v>
      </c>
      <c r="H213" s="15">
        <f t="shared" si="66"/>
        <v>0</v>
      </c>
      <c r="I213" s="15">
        <f t="shared" si="66"/>
        <v>0</v>
      </c>
      <c r="J213" s="15">
        <f t="shared" si="66"/>
        <v>4998.5</v>
      </c>
      <c r="K213" s="15">
        <f t="shared" si="66"/>
        <v>18770.400000000001</v>
      </c>
      <c r="L213" s="15">
        <f t="shared" si="66"/>
        <v>22860.1</v>
      </c>
      <c r="M213" s="15">
        <f t="shared" si="66"/>
        <v>0</v>
      </c>
      <c r="N213" s="15">
        <f t="shared" si="66"/>
        <v>0</v>
      </c>
      <c r="O213" s="15">
        <f t="shared" si="66"/>
        <v>0</v>
      </c>
    </row>
    <row r="214" spans="1:15" ht="15.75" customHeight="1" x14ac:dyDescent="0.2">
      <c r="A214" s="42"/>
      <c r="B214" s="42"/>
      <c r="C214" s="14" t="s">
        <v>1</v>
      </c>
      <c r="D214" s="20">
        <f t="shared" si="64"/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</row>
    <row r="215" spans="1:15" ht="15.75" customHeight="1" x14ac:dyDescent="0.2">
      <c r="A215" s="42"/>
      <c r="B215" s="42"/>
      <c r="C215" s="14" t="s">
        <v>2</v>
      </c>
      <c r="D215" s="20">
        <f t="shared" si="64"/>
        <v>43831.3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4698.6000000000004</v>
      </c>
      <c r="K215" s="15">
        <v>17644.2</v>
      </c>
      <c r="L215" s="15">
        <f>24616-3127.5</f>
        <v>21488.5</v>
      </c>
      <c r="M215" s="15">
        <v>0</v>
      </c>
      <c r="N215" s="15">
        <v>0</v>
      </c>
      <c r="O215" s="15">
        <v>0</v>
      </c>
    </row>
    <row r="216" spans="1:15" ht="15.75" customHeight="1" x14ac:dyDescent="0.2">
      <c r="A216" s="42"/>
      <c r="B216" s="42"/>
      <c r="C216" s="14" t="s">
        <v>3</v>
      </c>
      <c r="D216" s="20">
        <f t="shared" si="64"/>
        <v>2797.7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299.89999999999998</v>
      </c>
      <c r="K216" s="15">
        <v>1126.2</v>
      </c>
      <c r="L216" s="15">
        <f>1126.2+445-199.6</f>
        <v>1371.6000000000001</v>
      </c>
      <c r="M216" s="15">
        <f>1126.2-1126.2</f>
        <v>0</v>
      </c>
      <c r="N216" s="15">
        <f>1126.2-1126.2</f>
        <v>0</v>
      </c>
      <c r="O216" s="15">
        <v>0</v>
      </c>
    </row>
    <row r="217" spans="1:15" ht="15.75" customHeight="1" x14ac:dyDescent="0.2">
      <c r="A217" s="42"/>
      <c r="B217" s="42"/>
      <c r="C217" s="14" t="s">
        <v>4</v>
      </c>
      <c r="D217" s="20">
        <f t="shared" si="64"/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</row>
    <row r="218" spans="1:15" ht="34.5" customHeight="1" x14ac:dyDescent="0.2">
      <c r="A218" s="42" t="s">
        <v>155</v>
      </c>
      <c r="B218" s="42" t="s">
        <v>120</v>
      </c>
      <c r="C218" s="14" t="s">
        <v>92</v>
      </c>
      <c r="D218" s="20">
        <f t="shared" ref="D218:O218" si="67">D219+D220+D221+D222</f>
        <v>34038.199999999997</v>
      </c>
      <c r="E218" s="15">
        <f t="shared" si="67"/>
        <v>0</v>
      </c>
      <c r="F218" s="15">
        <f t="shared" si="67"/>
        <v>0</v>
      </c>
      <c r="G218" s="15">
        <f t="shared" si="67"/>
        <v>0</v>
      </c>
      <c r="H218" s="15">
        <f t="shared" si="67"/>
        <v>0</v>
      </c>
      <c r="I218" s="15">
        <f t="shared" si="67"/>
        <v>0</v>
      </c>
      <c r="J218" s="15">
        <f t="shared" si="67"/>
        <v>0</v>
      </c>
      <c r="K218" s="15">
        <f t="shared" si="67"/>
        <v>11528.7</v>
      </c>
      <c r="L218" s="15">
        <f t="shared" si="67"/>
        <v>5864.2</v>
      </c>
      <c r="M218" s="15">
        <f t="shared" si="67"/>
        <v>7873.3</v>
      </c>
      <c r="N218" s="15">
        <f t="shared" si="67"/>
        <v>4386</v>
      </c>
      <c r="O218" s="15">
        <f t="shared" si="67"/>
        <v>4386</v>
      </c>
    </row>
    <row r="219" spans="1:15" ht="15.75" customHeight="1" x14ac:dyDescent="0.2">
      <c r="A219" s="42"/>
      <c r="B219" s="42"/>
      <c r="C219" s="14" t="s">
        <v>1</v>
      </c>
      <c r="D219" s="20">
        <f>E219+F219+G219+H219+I219+J219+K219+L219+M219+N219+O219</f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/>
    </row>
    <row r="220" spans="1:15" ht="15.75" customHeight="1" x14ac:dyDescent="0.2">
      <c r="A220" s="42"/>
      <c r="B220" s="42"/>
      <c r="C220" s="14" t="s">
        <v>2</v>
      </c>
      <c r="D220" s="20">
        <f>E220+F220+G220+H220+I220+J220+K220+L220+M220+N220+O220</f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</row>
    <row r="221" spans="1:15" ht="15.75" customHeight="1" x14ac:dyDescent="0.2">
      <c r="A221" s="42"/>
      <c r="B221" s="42"/>
      <c r="C221" s="14" t="s">
        <v>3</v>
      </c>
      <c r="D221" s="20">
        <f>E221+F221+G221+H221+I221+J221+K221+L221+M221+N221+O221</f>
        <v>34038.199999999997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11528.7</v>
      </c>
      <c r="L221" s="15">
        <v>5864.2</v>
      </c>
      <c r="M221" s="15">
        <f>5275.5-3376.4+3922.4+2051.8</f>
        <v>7873.3</v>
      </c>
      <c r="N221" s="15">
        <f>0+4386</f>
        <v>4386</v>
      </c>
      <c r="O221" s="15">
        <f>0+4386</f>
        <v>4386</v>
      </c>
    </row>
    <row r="222" spans="1:15" ht="15.75" customHeight="1" x14ac:dyDescent="0.2">
      <c r="A222" s="42"/>
      <c r="B222" s="42"/>
      <c r="C222" s="14" t="s">
        <v>4</v>
      </c>
      <c r="D222" s="20">
        <f>E222+F222+G222+H222+I222+J222+K222+L222+M222+N222+O222</f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26">
        <v>0</v>
      </c>
      <c r="M222" s="27">
        <v>0</v>
      </c>
      <c r="N222" s="27">
        <v>0</v>
      </c>
      <c r="O222" s="26">
        <v>0</v>
      </c>
    </row>
    <row r="223" spans="1:15" ht="48.75" customHeight="1" x14ac:dyDescent="0.2">
      <c r="A223" s="42" t="s">
        <v>150</v>
      </c>
      <c r="B223" s="42" t="s">
        <v>125</v>
      </c>
      <c r="C223" s="14" t="s">
        <v>92</v>
      </c>
      <c r="D223" s="20">
        <f t="shared" ref="D223:O223" si="68">D224+D225+D226+D227</f>
        <v>2120.9999999999995</v>
      </c>
      <c r="E223" s="20">
        <f t="shared" si="68"/>
        <v>0</v>
      </c>
      <c r="F223" s="20">
        <f t="shared" si="68"/>
        <v>0</v>
      </c>
      <c r="G223" s="20">
        <f t="shared" si="68"/>
        <v>0</v>
      </c>
      <c r="H223" s="20">
        <f t="shared" si="68"/>
        <v>0</v>
      </c>
      <c r="I223" s="20">
        <f t="shared" si="68"/>
        <v>0</v>
      </c>
      <c r="J223" s="20">
        <f t="shared" si="68"/>
        <v>0</v>
      </c>
      <c r="K223" s="20">
        <f t="shared" si="68"/>
        <v>1514.6999999999998</v>
      </c>
      <c r="L223" s="20">
        <f t="shared" si="68"/>
        <v>562.70000000000005</v>
      </c>
      <c r="M223" s="20">
        <f t="shared" si="68"/>
        <v>43.6</v>
      </c>
      <c r="N223" s="20">
        <f t="shared" si="68"/>
        <v>0</v>
      </c>
      <c r="O223" s="20">
        <f t="shared" si="68"/>
        <v>0</v>
      </c>
    </row>
    <row r="224" spans="1:15" ht="15.75" customHeight="1" x14ac:dyDescent="0.2">
      <c r="A224" s="42"/>
      <c r="B224" s="42"/>
      <c r="C224" s="14" t="s">
        <v>1</v>
      </c>
      <c r="D224" s="20">
        <f>E224+F224+G224+H224+I224+J224+K224+L224+M224+N224+O224</f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</row>
    <row r="225" spans="1:15" ht="15.75" customHeight="1" x14ac:dyDescent="0.2">
      <c r="A225" s="42"/>
      <c r="B225" s="42"/>
      <c r="C225" s="14" t="s">
        <v>2</v>
      </c>
      <c r="D225" s="20">
        <f>E225+F225+G225+H225+I225+J225+K225+L225+M225+N225+O225</f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</row>
    <row r="226" spans="1:15" ht="15.75" customHeight="1" x14ac:dyDescent="0.2">
      <c r="A226" s="42"/>
      <c r="B226" s="42"/>
      <c r="C226" s="14" t="s">
        <v>3</v>
      </c>
      <c r="D226" s="20">
        <f>E226+F226+G226+H226+I226+J226+K226+L226+M226+N226+O226</f>
        <v>2120.9999999999995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f>270.9+1243.8</f>
        <v>1514.6999999999998</v>
      </c>
      <c r="L226" s="15">
        <v>562.70000000000005</v>
      </c>
      <c r="M226" s="15">
        <v>43.6</v>
      </c>
      <c r="N226" s="15">
        <v>0</v>
      </c>
      <c r="O226" s="15">
        <v>0</v>
      </c>
    </row>
    <row r="227" spans="1:15" ht="16.5" customHeight="1" x14ac:dyDescent="0.2">
      <c r="A227" s="42"/>
      <c r="B227" s="42"/>
      <c r="C227" s="14" t="s">
        <v>4</v>
      </c>
      <c r="D227" s="20">
        <f>E227+F227+G227+H227+I227+J227+K227+L227+M227+N227+O227</f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</row>
    <row r="228" spans="1:15" ht="16.5" hidden="1" customHeight="1" x14ac:dyDescent="0.2">
      <c r="A228" s="42" t="s">
        <v>124</v>
      </c>
      <c r="B228" s="44" t="s">
        <v>127</v>
      </c>
      <c r="C228" s="14" t="s">
        <v>92</v>
      </c>
      <c r="D228" s="20">
        <f t="shared" ref="D228:O228" si="69">D229+D230+D231+D232</f>
        <v>0</v>
      </c>
      <c r="E228" s="20">
        <f t="shared" si="69"/>
        <v>0</v>
      </c>
      <c r="F228" s="20">
        <f>F229+F230+F231+F232</f>
        <v>0</v>
      </c>
      <c r="G228" s="20">
        <f t="shared" si="69"/>
        <v>0</v>
      </c>
      <c r="H228" s="20">
        <f t="shared" si="69"/>
        <v>0</v>
      </c>
      <c r="I228" s="20">
        <f t="shared" si="69"/>
        <v>0</v>
      </c>
      <c r="J228" s="20">
        <f t="shared" si="69"/>
        <v>0</v>
      </c>
      <c r="K228" s="20">
        <f t="shared" si="69"/>
        <v>0</v>
      </c>
      <c r="L228" s="20">
        <f t="shared" si="69"/>
        <v>0</v>
      </c>
      <c r="M228" s="20">
        <f t="shared" si="69"/>
        <v>0</v>
      </c>
      <c r="N228" s="20">
        <f t="shared" si="69"/>
        <v>0</v>
      </c>
      <c r="O228" s="20">
        <f t="shared" si="69"/>
        <v>0</v>
      </c>
    </row>
    <row r="229" spans="1:15" ht="16.5" hidden="1" customHeight="1" x14ac:dyDescent="0.2">
      <c r="A229" s="42"/>
      <c r="B229" s="45"/>
      <c r="C229" s="14" t="s">
        <v>1</v>
      </c>
      <c r="D229" s="20">
        <f>E229+F229+G229+H229+I229+J229+K229+L229+M229+N229+O229</f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</row>
    <row r="230" spans="1:15" ht="16.5" hidden="1" customHeight="1" x14ac:dyDescent="0.2">
      <c r="A230" s="42"/>
      <c r="B230" s="45"/>
      <c r="C230" s="14" t="s">
        <v>2</v>
      </c>
      <c r="D230" s="20">
        <f>E230+F230+G230+H230+I230+J230+K230+L230+M230+N230+O230</f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</row>
    <row r="231" spans="1:15" ht="16.5" hidden="1" customHeight="1" x14ac:dyDescent="0.2">
      <c r="A231" s="42"/>
      <c r="B231" s="45"/>
      <c r="C231" s="14" t="s">
        <v>3</v>
      </c>
      <c r="D231" s="20">
        <f>E231+F231+G231+H231+I231+J231+K231+L231+M231+N231+O231</f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f>9196.4-1500-221.5-1214.5-505.7-3981.1-1493.4+7839.1-198.3-321.9-15-108.7-7475.4</f>
        <v>0</v>
      </c>
      <c r="M231" s="15">
        <f>10296.9-6049-4247.9</f>
        <v>0</v>
      </c>
      <c r="N231" s="15">
        <v>0</v>
      </c>
      <c r="O231" s="15">
        <v>0</v>
      </c>
    </row>
    <row r="232" spans="1:15" ht="16.5" hidden="1" customHeight="1" x14ac:dyDescent="0.2">
      <c r="A232" s="42"/>
      <c r="B232" s="46"/>
      <c r="C232" s="14" t="s">
        <v>4</v>
      </c>
      <c r="D232" s="20">
        <f>E232+F232+G232+H232+I232+J232+K232+L232+M232+N232+O232</f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</row>
    <row r="233" spans="1:15" ht="51" hidden="1" customHeight="1" x14ac:dyDescent="0.2">
      <c r="A233" s="42" t="s">
        <v>126</v>
      </c>
      <c r="B233" s="44" t="s">
        <v>129</v>
      </c>
      <c r="C233" s="14" t="s">
        <v>92</v>
      </c>
      <c r="D233" s="20">
        <f t="shared" ref="D233:O233" si="70">D234+D235+D236+D237</f>
        <v>0</v>
      </c>
      <c r="E233" s="20">
        <f t="shared" si="70"/>
        <v>0</v>
      </c>
      <c r="F233" s="20">
        <f>F234+F235+F236+F237</f>
        <v>0</v>
      </c>
      <c r="G233" s="20">
        <f t="shared" si="70"/>
        <v>0</v>
      </c>
      <c r="H233" s="20">
        <f t="shared" si="70"/>
        <v>0</v>
      </c>
      <c r="I233" s="20">
        <f t="shared" si="70"/>
        <v>0</v>
      </c>
      <c r="J233" s="20">
        <f t="shared" si="70"/>
        <v>0</v>
      </c>
      <c r="K233" s="20">
        <f t="shared" si="70"/>
        <v>0</v>
      </c>
      <c r="L233" s="20">
        <f t="shared" si="70"/>
        <v>0</v>
      </c>
      <c r="M233" s="20">
        <f t="shared" si="70"/>
        <v>0</v>
      </c>
      <c r="N233" s="20">
        <f t="shared" si="70"/>
        <v>0</v>
      </c>
      <c r="O233" s="20">
        <f t="shared" si="70"/>
        <v>0</v>
      </c>
    </row>
    <row r="234" spans="1:15" ht="16.5" hidden="1" customHeight="1" x14ac:dyDescent="0.2">
      <c r="A234" s="42"/>
      <c r="B234" s="45"/>
      <c r="C234" s="14" t="s">
        <v>1</v>
      </c>
      <c r="D234" s="20">
        <f>E234+F234+G234+H234+I234+J234+K234+L234+M234+N234+O234</f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</row>
    <row r="235" spans="1:15" ht="16.5" hidden="1" customHeight="1" x14ac:dyDescent="0.2">
      <c r="A235" s="42"/>
      <c r="B235" s="45"/>
      <c r="C235" s="14" t="s">
        <v>2</v>
      </c>
      <c r="D235" s="20">
        <f>E235+F235+G235+H235+I235+J235+K235+L235+M235+N235+O235</f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</row>
    <row r="236" spans="1:15" ht="16.5" hidden="1" customHeight="1" x14ac:dyDescent="0.2">
      <c r="A236" s="42"/>
      <c r="B236" s="45"/>
      <c r="C236" s="14" t="s">
        <v>3</v>
      </c>
      <c r="D236" s="20">
        <f>E236+F236+G236+H236+I236+J236+K236+L236+M236+N236+O236</f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f>11198.7-7839.1-3359.6</f>
        <v>0</v>
      </c>
      <c r="M236" s="15">
        <f>2000+5839.1-7839.1</f>
        <v>0</v>
      </c>
      <c r="N236" s="15">
        <f>2000-2000</f>
        <v>0</v>
      </c>
      <c r="O236" s="15">
        <v>0</v>
      </c>
    </row>
    <row r="237" spans="1:15" ht="16.5" hidden="1" customHeight="1" x14ac:dyDescent="0.2">
      <c r="A237" s="42"/>
      <c r="B237" s="46"/>
      <c r="C237" s="14" t="s">
        <v>4</v>
      </c>
      <c r="D237" s="20">
        <f>E237+F237+G237+H237+I237+J237+K237+L237+M237+N237+O237</f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</row>
    <row r="238" spans="1:15" s="30" customFormat="1" ht="58.15" hidden="1" customHeight="1" x14ac:dyDescent="0.2">
      <c r="A238" s="55" t="s">
        <v>128</v>
      </c>
      <c r="B238" s="56" t="s">
        <v>130</v>
      </c>
      <c r="C238" s="28" t="s">
        <v>92</v>
      </c>
      <c r="D238" s="29">
        <f t="shared" ref="D238:O238" si="71">D239+D240+D241+D242</f>
        <v>0</v>
      </c>
      <c r="E238" s="29">
        <f t="shared" si="71"/>
        <v>0</v>
      </c>
      <c r="F238" s="29">
        <f t="shared" si="71"/>
        <v>0</v>
      </c>
      <c r="G238" s="29">
        <f t="shared" si="71"/>
        <v>0</v>
      </c>
      <c r="H238" s="29">
        <f t="shared" si="71"/>
        <v>0</v>
      </c>
      <c r="I238" s="29">
        <f t="shared" si="71"/>
        <v>0</v>
      </c>
      <c r="J238" s="29">
        <f t="shared" si="71"/>
        <v>0</v>
      </c>
      <c r="K238" s="29">
        <f t="shared" si="71"/>
        <v>0</v>
      </c>
      <c r="L238" s="29">
        <f t="shared" si="71"/>
        <v>0</v>
      </c>
      <c r="M238" s="20">
        <f t="shared" si="71"/>
        <v>0</v>
      </c>
      <c r="N238" s="29">
        <f t="shared" si="71"/>
        <v>0</v>
      </c>
      <c r="O238" s="29">
        <f t="shared" si="71"/>
        <v>0</v>
      </c>
    </row>
    <row r="239" spans="1:15" s="30" customFormat="1" ht="16.5" hidden="1" customHeight="1" x14ac:dyDescent="0.2">
      <c r="A239" s="55"/>
      <c r="B239" s="57"/>
      <c r="C239" s="28" t="s">
        <v>1</v>
      </c>
      <c r="D239" s="29">
        <f>E239+F239+G239+H239+I239+J239+K239+L239+M239+N239+O239</f>
        <v>0</v>
      </c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15">
        <v>0</v>
      </c>
      <c r="N239" s="31">
        <v>0</v>
      </c>
      <c r="O239" s="31">
        <v>0</v>
      </c>
    </row>
    <row r="240" spans="1:15" s="30" customFormat="1" ht="16.5" hidden="1" customHeight="1" x14ac:dyDescent="0.2">
      <c r="A240" s="55"/>
      <c r="B240" s="57"/>
      <c r="C240" s="28" t="s">
        <v>2</v>
      </c>
      <c r="D240" s="29">
        <f>E240+F240+G240+H240+I240+J240+K240+L240+M240+N240+O240</f>
        <v>0</v>
      </c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15">
        <v>0</v>
      </c>
      <c r="N240" s="31">
        <v>0</v>
      </c>
      <c r="O240" s="31">
        <v>0</v>
      </c>
    </row>
    <row r="241" spans="1:15" s="30" customFormat="1" ht="16.5" hidden="1" customHeight="1" x14ac:dyDescent="0.2">
      <c r="A241" s="55"/>
      <c r="B241" s="57"/>
      <c r="C241" s="28" t="s">
        <v>3</v>
      </c>
      <c r="D241" s="29">
        <f>E241+F241+G241+H241+I241+J241+K241+L241+M241+N241+O241</f>
        <v>0</v>
      </c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f>11056-11056</f>
        <v>0</v>
      </c>
      <c r="M241" s="15">
        <f>14348-5839.1-6462.9+7839.1-9885.1</f>
        <v>0</v>
      </c>
      <c r="N241" s="31">
        <f>3000-3000</f>
        <v>0</v>
      </c>
      <c r="O241" s="31">
        <v>0</v>
      </c>
    </row>
    <row r="242" spans="1:15" s="30" customFormat="1" ht="23.45" hidden="1" customHeight="1" x14ac:dyDescent="0.2">
      <c r="A242" s="55"/>
      <c r="B242" s="58"/>
      <c r="C242" s="28" t="s">
        <v>4</v>
      </c>
      <c r="D242" s="29">
        <f>E242+F242+G242+H242+I242+J242+K242+L242+M242+N242+O242</f>
        <v>0</v>
      </c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15">
        <v>0</v>
      </c>
      <c r="N242" s="31">
        <v>0</v>
      </c>
      <c r="O242" s="31">
        <v>0</v>
      </c>
    </row>
    <row r="243" spans="1:15" ht="23.45" customHeight="1" x14ac:dyDescent="0.2">
      <c r="A243" s="42" t="s">
        <v>151</v>
      </c>
      <c r="B243" s="44" t="s">
        <v>133</v>
      </c>
      <c r="C243" s="14" t="s">
        <v>92</v>
      </c>
      <c r="D243" s="20">
        <f t="shared" ref="D243:O243" si="72">D244+D245+D246+D247</f>
        <v>1291.5999999999999</v>
      </c>
      <c r="E243" s="20">
        <f t="shared" si="72"/>
        <v>0</v>
      </c>
      <c r="F243" s="20">
        <f t="shared" si="72"/>
        <v>0</v>
      </c>
      <c r="G243" s="20">
        <f t="shared" si="72"/>
        <v>0</v>
      </c>
      <c r="H243" s="20">
        <f t="shared" si="72"/>
        <v>0</v>
      </c>
      <c r="I243" s="20">
        <f t="shared" si="72"/>
        <v>0</v>
      </c>
      <c r="J243" s="20">
        <f t="shared" si="72"/>
        <v>0</v>
      </c>
      <c r="K243" s="20">
        <f t="shared" si="72"/>
        <v>0</v>
      </c>
      <c r="L243" s="20">
        <f t="shared" si="72"/>
        <v>1291.5999999999999</v>
      </c>
      <c r="M243" s="20">
        <f t="shared" si="72"/>
        <v>0</v>
      </c>
      <c r="N243" s="20">
        <f t="shared" si="72"/>
        <v>0</v>
      </c>
      <c r="O243" s="20">
        <f t="shared" si="72"/>
        <v>0</v>
      </c>
    </row>
    <row r="244" spans="1:15" ht="23.45" customHeight="1" x14ac:dyDescent="0.2">
      <c r="A244" s="42"/>
      <c r="B244" s="45"/>
      <c r="C244" s="14" t="s">
        <v>1</v>
      </c>
      <c r="D244" s="20">
        <f>E244+F244+G244+H244+I244+J244+K244+L244+M244+N244+O244</f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</row>
    <row r="245" spans="1:15" ht="23.45" customHeight="1" x14ac:dyDescent="0.2">
      <c r="A245" s="42"/>
      <c r="B245" s="45"/>
      <c r="C245" s="14" t="s">
        <v>2</v>
      </c>
      <c r="D245" s="20">
        <f>E245+F245+G245+H245+I245+J245+K245+L245+M245+N245+O245</f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</row>
    <row r="246" spans="1:15" ht="23.45" customHeight="1" x14ac:dyDescent="0.2">
      <c r="A246" s="42"/>
      <c r="B246" s="45"/>
      <c r="C246" s="14" t="s">
        <v>3</v>
      </c>
      <c r="D246" s="20">
        <f>E246+F246+G246+H246+I246+J246+K246+L246+M246+N246+O246</f>
        <v>1291.5999999999999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1291.5999999999999</v>
      </c>
      <c r="M246" s="15">
        <v>0</v>
      </c>
      <c r="N246" s="15">
        <v>0</v>
      </c>
      <c r="O246" s="15">
        <v>0</v>
      </c>
    </row>
    <row r="247" spans="1:15" ht="23.45" customHeight="1" x14ac:dyDescent="0.2">
      <c r="A247" s="42"/>
      <c r="B247" s="46"/>
      <c r="C247" s="14" t="s">
        <v>4</v>
      </c>
      <c r="D247" s="20">
        <f>E247+F247+G247+H247+I247+J247+K247+L247+M247+N247+O247</f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</row>
    <row r="248" spans="1:15" ht="23.45" customHeight="1" x14ac:dyDescent="0.2">
      <c r="A248" s="42" t="s">
        <v>152</v>
      </c>
      <c r="B248" s="44" t="s">
        <v>134</v>
      </c>
      <c r="C248" s="14" t="s">
        <v>92</v>
      </c>
      <c r="D248" s="20">
        <f t="shared" ref="D248:O248" si="73">D249+D250+D251+D252</f>
        <v>350.1</v>
      </c>
      <c r="E248" s="20">
        <f t="shared" si="73"/>
        <v>0</v>
      </c>
      <c r="F248" s="20">
        <f t="shared" si="73"/>
        <v>0</v>
      </c>
      <c r="G248" s="20">
        <f t="shared" si="73"/>
        <v>0</v>
      </c>
      <c r="H248" s="20">
        <f t="shared" si="73"/>
        <v>0</v>
      </c>
      <c r="I248" s="20">
        <f t="shared" si="73"/>
        <v>0</v>
      </c>
      <c r="J248" s="20">
        <f t="shared" si="73"/>
        <v>0</v>
      </c>
      <c r="K248" s="20">
        <f t="shared" si="73"/>
        <v>0</v>
      </c>
      <c r="L248" s="20">
        <f t="shared" si="73"/>
        <v>15</v>
      </c>
      <c r="M248" s="20">
        <f t="shared" si="73"/>
        <v>111.7</v>
      </c>
      <c r="N248" s="20">
        <f t="shared" si="73"/>
        <v>111.7</v>
      </c>
      <c r="O248" s="20">
        <f t="shared" si="73"/>
        <v>111.7</v>
      </c>
    </row>
    <row r="249" spans="1:15" ht="23.45" customHeight="1" x14ac:dyDescent="0.2">
      <c r="A249" s="42"/>
      <c r="B249" s="45"/>
      <c r="C249" s="14" t="s">
        <v>1</v>
      </c>
      <c r="D249" s="20">
        <f>E249+F249+G249+H249+I249+J249+K249+L249+M249+N249+O249</f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</row>
    <row r="250" spans="1:15" ht="23.45" customHeight="1" x14ac:dyDescent="0.2">
      <c r="A250" s="42"/>
      <c r="B250" s="45"/>
      <c r="C250" s="14" t="s">
        <v>2</v>
      </c>
      <c r="D250" s="20">
        <f>E250+F250+G250+H250+I250+J250+K250+L250+M250+N250+O250</f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</row>
    <row r="251" spans="1:15" ht="23.45" customHeight="1" x14ac:dyDescent="0.2">
      <c r="A251" s="42"/>
      <c r="B251" s="45"/>
      <c r="C251" s="14" t="s">
        <v>3</v>
      </c>
      <c r="D251" s="20">
        <f>E251+F251+G251+H251+I251+J251+K251+L251+M251+N251+O251</f>
        <v>350.1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15</v>
      </c>
      <c r="M251" s="15">
        <v>111.7</v>
      </c>
      <c r="N251" s="15">
        <v>111.7</v>
      </c>
      <c r="O251" s="15">
        <v>111.7</v>
      </c>
    </row>
    <row r="252" spans="1:15" ht="23.45" customHeight="1" x14ac:dyDescent="0.2">
      <c r="A252" s="42"/>
      <c r="B252" s="46"/>
      <c r="C252" s="14" t="s">
        <v>4</v>
      </c>
      <c r="D252" s="20">
        <f>E252+F252+G252+H252+I252+J252+K252+L252+M252+N252+O252</f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</row>
    <row r="253" spans="1:15" ht="23.45" customHeight="1" x14ac:dyDescent="0.2">
      <c r="A253" s="44" t="s">
        <v>153</v>
      </c>
      <c r="B253" s="47" t="s">
        <v>146</v>
      </c>
      <c r="C253" s="14" t="s">
        <v>92</v>
      </c>
      <c r="D253" s="20">
        <f>E253+F253+G253+H253+I253+J253+K253+L253+M253+N253+O253</f>
        <v>435000</v>
      </c>
      <c r="E253" s="20">
        <f>E254+E255+E256+E257</f>
        <v>0</v>
      </c>
      <c r="F253" s="20">
        <f t="shared" ref="F253:O253" si="74">F254+F255+F256+F257</f>
        <v>0</v>
      </c>
      <c r="G253" s="20">
        <f t="shared" si="74"/>
        <v>0</v>
      </c>
      <c r="H253" s="20">
        <f t="shared" si="74"/>
        <v>0</v>
      </c>
      <c r="I253" s="20">
        <f t="shared" si="74"/>
        <v>0</v>
      </c>
      <c r="J253" s="20">
        <f t="shared" si="74"/>
        <v>0</v>
      </c>
      <c r="K253" s="20">
        <f t="shared" si="74"/>
        <v>0</v>
      </c>
      <c r="L253" s="20">
        <f t="shared" si="74"/>
        <v>0</v>
      </c>
      <c r="M253" s="20">
        <f t="shared" si="74"/>
        <v>435000</v>
      </c>
      <c r="N253" s="20">
        <f t="shared" si="74"/>
        <v>0</v>
      </c>
      <c r="O253" s="20">
        <f t="shared" si="74"/>
        <v>0</v>
      </c>
    </row>
    <row r="254" spans="1:15" ht="23.45" customHeight="1" x14ac:dyDescent="0.2">
      <c r="A254" s="45"/>
      <c r="B254" s="48"/>
      <c r="C254" s="14" t="s">
        <v>1</v>
      </c>
      <c r="D254" s="20">
        <f t="shared" ref="D254:D257" si="75">E254+F254+G254+H254+I254+J254+K254+L254+M254+N254+O254</f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</row>
    <row r="255" spans="1:15" ht="23.45" customHeight="1" x14ac:dyDescent="0.2">
      <c r="A255" s="45"/>
      <c r="B255" s="48"/>
      <c r="C255" s="14" t="s">
        <v>2</v>
      </c>
      <c r="D255" s="20">
        <f t="shared" si="75"/>
        <v>435000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435000</v>
      </c>
      <c r="N255" s="15">
        <v>0</v>
      </c>
      <c r="O255" s="15">
        <v>0</v>
      </c>
    </row>
    <row r="256" spans="1:15" ht="23.45" customHeight="1" x14ac:dyDescent="0.2">
      <c r="A256" s="45"/>
      <c r="B256" s="48"/>
      <c r="C256" s="14" t="s">
        <v>3</v>
      </c>
      <c r="D256" s="20">
        <f t="shared" si="75"/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</row>
    <row r="257" spans="1:15" ht="23.45" customHeight="1" x14ac:dyDescent="0.2">
      <c r="A257" s="46"/>
      <c r="B257" s="49"/>
      <c r="C257" s="14" t="s">
        <v>4</v>
      </c>
      <c r="D257" s="20">
        <f t="shared" si="75"/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</row>
    <row r="258" spans="1:15" ht="15.75" x14ac:dyDescent="0.2">
      <c r="A258" s="51" t="s">
        <v>96</v>
      </c>
      <c r="B258" s="51" t="s">
        <v>116</v>
      </c>
      <c r="C258" s="14" t="s">
        <v>92</v>
      </c>
      <c r="D258" s="15">
        <f t="shared" si="55"/>
        <v>3923764.5000000005</v>
      </c>
      <c r="E258" s="15">
        <f t="shared" ref="E258:O258" si="76">E259+E260++E262+E264</f>
        <v>0</v>
      </c>
      <c r="F258" s="15">
        <f t="shared" si="76"/>
        <v>0</v>
      </c>
      <c r="G258" s="15">
        <f t="shared" si="76"/>
        <v>0</v>
      </c>
      <c r="H258" s="15">
        <f t="shared" si="76"/>
        <v>0</v>
      </c>
      <c r="I258" s="15">
        <f t="shared" si="76"/>
        <v>502813.2</v>
      </c>
      <c r="J258" s="15">
        <f t="shared" si="76"/>
        <v>837541.00000000012</v>
      </c>
      <c r="K258" s="15">
        <f t="shared" si="76"/>
        <v>593242.80000000005</v>
      </c>
      <c r="L258" s="15">
        <f t="shared" si="76"/>
        <v>701353.9</v>
      </c>
      <c r="M258" s="15">
        <f t="shared" si="76"/>
        <v>532292.5</v>
      </c>
      <c r="N258" s="15">
        <f t="shared" si="76"/>
        <v>552661.1</v>
      </c>
      <c r="O258" s="15">
        <f t="shared" si="76"/>
        <v>203860</v>
      </c>
    </row>
    <row r="259" spans="1:15" ht="15.75" x14ac:dyDescent="0.2">
      <c r="A259" s="51"/>
      <c r="B259" s="51"/>
      <c r="C259" s="14" t="s">
        <v>1</v>
      </c>
      <c r="D259" s="15">
        <f t="shared" ref="D259:D264" si="77">E259+F259+G259+H259+I259+J259+K259+L259+M259+N259+O259</f>
        <v>773234.9</v>
      </c>
      <c r="E259" s="15">
        <f>E266</f>
        <v>0</v>
      </c>
      <c r="F259" s="15">
        <f t="shared" ref="F259:O259" si="78">F266</f>
        <v>0</v>
      </c>
      <c r="G259" s="15">
        <f t="shared" si="78"/>
        <v>0</v>
      </c>
      <c r="H259" s="15">
        <f t="shared" si="78"/>
        <v>0</v>
      </c>
      <c r="I259" s="15">
        <f t="shared" si="78"/>
        <v>403667</v>
      </c>
      <c r="J259" s="15">
        <f>J266+J271</f>
        <v>0</v>
      </c>
      <c r="K259" s="15">
        <f t="shared" si="78"/>
        <v>369567.9</v>
      </c>
      <c r="L259" s="15">
        <f t="shared" si="78"/>
        <v>0</v>
      </c>
      <c r="M259" s="15">
        <f t="shared" si="78"/>
        <v>0</v>
      </c>
      <c r="N259" s="15">
        <f t="shared" si="78"/>
        <v>0</v>
      </c>
      <c r="O259" s="15">
        <f t="shared" si="78"/>
        <v>0</v>
      </c>
    </row>
    <row r="260" spans="1:15" ht="31.5" x14ac:dyDescent="0.2">
      <c r="A260" s="51"/>
      <c r="B260" s="51"/>
      <c r="C260" s="14" t="s">
        <v>23</v>
      </c>
      <c r="D260" s="15">
        <f t="shared" si="77"/>
        <v>3081429.4000000004</v>
      </c>
      <c r="E260" s="15">
        <f>E267</f>
        <v>0</v>
      </c>
      <c r="F260" s="15">
        <f t="shared" ref="F260:O260" si="79">F267</f>
        <v>0</v>
      </c>
      <c r="G260" s="15">
        <f t="shared" si="79"/>
        <v>0</v>
      </c>
      <c r="H260" s="15">
        <f t="shared" si="79"/>
        <v>0</v>
      </c>
      <c r="I260" s="15">
        <f t="shared" si="79"/>
        <v>91732</v>
      </c>
      <c r="J260" s="15">
        <f>J267+J272</f>
        <v>824533.70000000007</v>
      </c>
      <c r="K260" s="15">
        <f t="shared" si="79"/>
        <v>214069.4</v>
      </c>
      <c r="L260" s="15">
        <f>L267</f>
        <v>688456</v>
      </c>
      <c r="M260" s="15">
        <f t="shared" si="79"/>
        <v>519627.2</v>
      </c>
      <c r="N260" s="15">
        <f t="shared" si="79"/>
        <v>543011.1</v>
      </c>
      <c r="O260" s="15">
        <f t="shared" si="79"/>
        <v>200000</v>
      </c>
    </row>
    <row r="261" spans="1:15" ht="51.75" customHeight="1" x14ac:dyDescent="0.2">
      <c r="A261" s="51"/>
      <c r="B261" s="51"/>
      <c r="C261" s="12" t="s">
        <v>25</v>
      </c>
      <c r="D261" s="15">
        <f t="shared" si="77"/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</row>
    <row r="262" spans="1:15" ht="31.5" x14ac:dyDescent="0.2">
      <c r="A262" s="51"/>
      <c r="B262" s="51"/>
      <c r="C262" s="14" t="s">
        <v>24</v>
      </c>
      <c r="D262" s="15">
        <f t="shared" si="77"/>
        <v>69100.2</v>
      </c>
      <c r="E262" s="15">
        <f>E268</f>
        <v>0</v>
      </c>
      <c r="F262" s="15">
        <f t="shared" ref="F262:I262" si="80">F268</f>
        <v>0</v>
      </c>
      <c r="G262" s="15">
        <f t="shared" si="80"/>
        <v>0</v>
      </c>
      <c r="H262" s="15">
        <f t="shared" si="80"/>
        <v>0</v>
      </c>
      <c r="I262" s="15">
        <f t="shared" si="80"/>
        <v>7414.2</v>
      </c>
      <c r="J262" s="15">
        <f>J268+J273+J278</f>
        <v>13007.3</v>
      </c>
      <c r="K262" s="15">
        <f>K268+K273+K278</f>
        <v>9605.5</v>
      </c>
      <c r="L262" s="15">
        <f>L268+L273+L278</f>
        <v>12897.900000000001</v>
      </c>
      <c r="M262" s="15">
        <f>M268+M273+M278+M283</f>
        <v>12665.3</v>
      </c>
      <c r="N262" s="15">
        <f t="shared" ref="N262:O262" si="81">N268+N273+N278+N283</f>
        <v>9650</v>
      </c>
      <c r="O262" s="15">
        <f t="shared" si="81"/>
        <v>3860</v>
      </c>
    </row>
    <row r="263" spans="1:15" ht="49.5" customHeight="1" x14ac:dyDescent="0.2">
      <c r="A263" s="51"/>
      <c r="B263" s="51"/>
      <c r="C263" s="12" t="s">
        <v>25</v>
      </c>
      <c r="D263" s="15">
        <f>E263+F263+G263+H263+I263+J263+K263+L263+M263+N263+O263</f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ht="16.5" customHeight="1" x14ac:dyDescent="0.2">
      <c r="A264" s="51"/>
      <c r="B264" s="51"/>
      <c r="C264" s="14" t="s">
        <v>4</v>
      </c>
      <c r="D264" s="15">
        <f t="shared" si="77"/>
        <v>0</v>
      </c>
      <c r="E264" s="15">
        <f>E269</f>
        <v>0</v>
      </c>
      <c r="F264" s="15">
        <f t="shared" ref="F264:O264" si="82">F269</f>
        <v>0</v>
      </c>
      <c r="G264" s="15">
        <f t="shared" si="82"/>
        <v>0</v>
      </c>
      <c r="H264" s="15">
        <f t="shared" si="82"/>
        <v>0</v>
      </c>
      <c r="I264" s="15">
        <f t="shared" si="82"/>
        <v>0</v>
      </c>
      <c r="J264" s="15">
        <f t="shared" si="82"/>
        <v>0</v>
      </c>
      <c r="K264" s="15">
        <f t="shared" si="82"/>
        <v>0</v>
      </c>
      <c r="L264" s="15">
        <f t="shared" si="82"/>
        <v>0</v>
      </c>
      <c r="M264" s="15">
        <f t="shared" si="82"/>
        <v>0</v>
      </c>
      <c r="N264" s="15">
        <f t="shared" si="82"/>
        <v>0</v>
      </c>
      <c r="O264" s="15">
        <f t="shared" si="82"/>
        <v>0</v>
      </c>
    </row>
    <row r="265" spans="1:15" ht="15.75" x14ac:dyDescent="0.2">
      <c r="A265" s="42" t="s">
        <v>97</v>
      </c>
      <c r="B265" s="42" t="s">
        <v>139</v>
      </c>
      <c r="C265" s="14" t="s">
        <v>92</v>
      </c>
      <c r="D265" s="20">
        <f t="shared" ref="D265:D314" si="83">E265+F265+G265+H265+I265+J265+K265+L265+M265+N265+O265</f>
        <v>3714472.5000000005</v>
      </c>
      <c r="E265" s="15">
        <f>E266+E267+E268+E269</f>
        <v>0</v>
      </c>
      <c r="F265" s="15">
        <f t="shared" ref="F265:O265" si="84">F266+F267+F268+F269</f>
        <v>0</v>
      </c>
      <c r="G265" s="15">
        <f t="shared" si="84"/>
        <v>0</v>
      </c>
      <c r="H265" s="15">
        <f t="shared" si="84"/>
        <v>0</v>
      </c>
      <c r="I265" s="15">
        <f t="shared" si="84"/>
        <v>502813.2</v>
      </c>
      <c r="J265" s="15">
        <f t="shared" si="84"/>
        <v>676927.70000000007</v>
      </c>
      <c r="K265" s="15">
        <f>K266+K267+K268+K269</f>
        <v>583637.30000000005</v>
      </c>
      <c r="L265" s="15">
        <f>L266+L267+L268+L269</f>
        <v>688456</v>
      </c>
      <c r="M265" s="15">
        <f>M266+M267+M268+M269</f>
        <v>519627.2</v>
      </c>
      <c r="N265" s="15">
        <f t="shared" si="84"/>
        <v>543011.1</v>
      </c>
      <c r="O265" s="15">
        <f t="shared" si="84"/>
        <v>200000</v>
      </c>
    </row>
    <row r="266" spans="1:15" ht="15.75" x14ac:dyDescent="0.2">
      <c r="A266" s="42"/>
      <c r="B266" s="42"/>
      <c r="C266" s="14" t="s">
        <v>1</v>
      </c>
      <c r="D266" s="20">
        <f t="shared" si="83"/>
        <v>773234.9</v>
      </c>
      <c r="E266" s="15">
        <v>0</v>
      </c>
      <c r="F266" s="15">
        <v>0</v>
      </c>
      <c r="G266" s="15">
        <v>0</v>
      </c>
      <c r="H266" s="15">
        <v>0</v>
      </c>
      <c r="I266" s="15">
        <v>403667</v>
      </c>
      <c r="J266" s="15">
        <v>0</v>
      </c>
      <c r="K266" s="15">
        <f>319567.9+50000</f>
        <v>369567.9</v>
      </c>
      <c r="L266" s="15">
        <v>0</v>
      </c>
      <c r="M266" s="15">
        <v>0</v>
      </c>
      <c r="N266" s="15">
        <v>0</v>
      </c>
      <c r="O266" s="15">
        <v>0</v>
      </c>
    </row>
    <row r="267" spans="1:15" ht="15.75" x14ac:dyDescent="0.2">
      <c r="A267" s="42"/>
      <c r="B267" s="42"/>
      <c r="C267" s="14" t="s">
        <v>2</v>
      </c>
      <c r="D267" s="20">
        <f t="shared" si="83"/>
        <v>2923671.5000000005</v>
      </c>
      <c r="E267" s="15">
        <v>0</v>
      </c>
      <c r="F267" s="15">
        <v>0</v>
      </c>
      <c r="G267" s="15">
        <v>0</v>
      </c>
      <c r="H267" s="15">
        <v>0</v>
      </c>
      <c r="I267" s="15">
        <v>91732</v>
      </c>
      <c r="J267" s="15">
        <f>204258+394381+49714.9+18421.9</f>
        <v>666775.80000000005</v>
      </c>
      <c r="K267" s="15">
        <v>214069.4</v>
      </c>
      <c r="L267" s="15">
        <f>688456</f>
        <v>688456</v>
      </c>
      <c r="M267" s="15">
        <f>500000+19627.2</f>
        <v>519627.2</v>
      </c>
      <c r="N267" s="15">
        <f>500000+43011.1</f>
        <v>543011.1</v>
      </c>
      <c r="O267" s="15">
        <v>200000</v>
      </c>
    </row>
    <row r="268" spans="1:15" ht="15.75" x14ac:dyDescent="0.2">
      <c r="A268" s="42"/>
      <c r="B268" s="42"/>
      <c r="C268" s="14" t="s">
        <v>3</v>
      </c>
      <c r="D268" s="20">
        <f t="shared" si="83"/>
        <v>17566.099999999999</v>
      </c>
      <c r="E268" s="15">
        <v>0</v>
      </c>
      <c r="F268" s="15">
        <v>0</v>
      </c>
      <c r="G268" s="15">
        <v>0</v>
      </c>
      <c r="H268" s="15">
        <v>0</v>
      </c>
      <c r="I268" s="15">
        <v>7414.2</v>
      </c>
      <c r="J268" s="15">
        <v>10151.9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</row>
    <row r="269" spans="1:15" ht="18.75" customHeight="1" x14ac:dyDescent="0.2">
      <c r="A269" s="42"/>
      <c r="B269" s="42"/>
      <c r="C269" s="14" t="s">
        <v>4</v>
      </c>
      <c r="D269" s="20">
        <f t="shared" si="83"/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</row>
    <row r="270" spans="1:15" ht="15.75" x14ac:dyDescent="0.2">
      <c r="A270" s="42" t="s">
        <v>111</v>
      </c>
      <c r="B270" s="42" t="s">
        <v>112</v>
      </c>
      <c r="C270" s="14" t="s">
        <v>92</v>
      </c>
      <c r="D270" s="20">
        <f t="shared" ref="D270:D279" si="85">E270+F270+G270+H270+I270+J270+K270+L270+M270+N270+O270</f>
        <v>160613.29999999999</v>
      </c>
      <c r="E270" s="15">
        <f>E271+E272+E273+E274</f>
        <v>0</v>
      </c>
      <c r="F270" s="15">
        <f t="shared" ref="F270:O270" si="86">F271+F272+F273+F274</f>
        <v>0</v>
      </c>
      <c r="G270" s="15">
        <f t="shared" si="86"/>
        <v>0</v>
      </c>
      <c r="H270" s="15">
        <f t="shared" si="86"/>
        <v>0</v>
      </c>
      <c r="I270" s="15">
        <f t="shared" si="86"/>
        <v>0</v>
      </c>
      <c r="J270" s="15">
        <f t="shared" si="86"/>
        <v>160613.29999999999</v>
      </c>
      <c r="K270" s="15">
        <f t="shared" si="86"/>
        <v>0</v>
      </c>
      <c r="L270" s="15">
        <f t="shared" si="86"/>
        <v>0</v>
      </c>
      <c r="M270" s="15">
        <f t="shared" si="86"/>
        <v>0</v>
      </c>
      <c r="N270" s="15">
        <f t="shared" si="86"/>
        <v>0</v>
      </c>
      <c r="O270" s="15">
        <f t="shared" si="86"/>
        <v>0</v>
      </c>
    </row>
    <row r="271" spans="1:15" ht="15.75" x14ac:dyDescent="0.2">
      <c r="A271" s="42"/>
      <c r="B271" s="42"/>
      <c r="C271" s="14" t="s">
        <v>1</v>
      </c>
      <c r="D271" s="20">
        <f t="shared" si="85"/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</row>
    <row r="272" spans="1:15" ht="15.75" x14ac:dyDescent="0.2">
      <c r="A272" s="42"/>
      <c r="B272" s="42"/>
      <c r="C272" s="14" t="s">
        <v>2</v>
      </c>
      <c r="D272" s="20">
        <f t="shared" si="85"/>
        <v>157757.9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157757.9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</row>
    <row r="273" spans="1:15" ht="15.75" x14ac:dyDescent="0.2">
      <c r="A273" s="42"/>
      <c r="B273" s="42"/>
      <c r="C273" s="14" t="s">
        <v>3</v>
      </c>
      <c r="D273" s="20">
        <f t="shared" si="85"/>
        <v>2855.4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2855.4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</row>
    <row r="274" spans="1:15" ht="18.75" customHeight="1" x14ac:dyDescent="0.2">
      <c r="A274" s="42"/>
      <c r="B274" s="42"/>
      <c r="C274" s="14" t="s">
        <v>4</v>
      </c>
      <c r="D274" s="20">
        <f t="shared" si="85"/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</row>
    <row r="275" spans="1:15" ht="18.75" customHeight="1" x14ac:dyDescent="0.2">
      <c r="A275" s="42" t="s">
        <v>118</v>
      </c>
      <c r="B275" s="42" t="s">
        <v>140</v>
      </c>
      <c r="C275" s="14" t="s">
        <v>92</v>
      </c>
      <c r="D275" s="20">
        <f t="shared" si="85"/>
        <v>48674.9</v>
      </c>
      <c r="E275" s="15">
        <f>E276+E277+E278+E279</f>
        <v>0</v>
      </c>
      <c r="F275" s="15">
        <f t="shared" ref="F275:O275" si="87">F276+F277+F278+F279</f>
        <v>0</v>
      </c>
      <c r="G275" s="15">
        <f t="shared" si="87"/>
        <v>0</v>
      </c>
      <c r="H275" s="15">
        <f t="shared" si="87"/>
        <v>0</v>
      </c>
      <c r="I275" s="15">
        <f t="shared" si="87"/>
        <v>0</v>
      </c>
      <c r="J275" s="15">
        <f t="shared" si="87"/>
        <v>0</v>
      </c>
      <c r="K275" s="15">
        <f t="shared" si="87"/>
        <v>9605.5</v>
      </c>
      <c r="L275" s="15">
        <f t="shared" si="87"/>
        <v>12897.900000000001</v>
      </c>
      <c r="M275" s="15">
        <f t="shared" si="87"/>
        <v>12661.5</v>
      </c>
      <c r="N275" s="15">
        <f t="shared" si="87"/>
        <v>9650</v>
      </c>
      <c r="O275" s="15">
        <f t="shared" si="87"/>
        <v>3860</v>
      </c>
    </row>
    <row r="276" spans="1:15" ht="18.75" customHeight="1" x14ac:dyDescent="0.2">
      <c r="A276" s="42"/>
      <c r="B276" s="42"/>
      <c r="C276" s="14" t="s">
        <v>1</v>
      </c>
      <c r="D276" s="20">
        <f t="shared" si="85"/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</row>
    <row r="277" spans="1:15" ht="18.75" customHeight="1" x14ac:dyDescent="0.2">
      <c r="A277" s="42"/>
      <c r="B277" s="42"/>
      <c r="C277" s="14" t="s">
        <v>2</v>
      </c>
      <c r="D277" s="20">
        <f t="shared" si="85"/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</row>
    <row r="278" spans="1:15" ht="18.75" customHeight="1" x14ac:dyDescent="0.2">
      <c r="A278" s="42"/>
      <c r="B278" s="42"/>
      <c r="C278" s="14" t="s">
        <v>3</v>
      </c>
      <c r="D278" s="20">
        <f>E278+F278+G278+H278+I278+J278+K278+L278+M278+N278+O278</f>
        <v>48674.9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f>6791.8+68.7+2745</f>
        <v>9605.5</v>
      </c>
      <c r="L278" s="15">
        <f>12392.2+505.7</f>
        <v>12897.900000000001</v>
      </c>
      <c r="M278" s="15">
        <f>15027.1-2634.9-2742.2+3015.3-3.8</f>
        <v>12661.5</v>
      </c>
      <c r="N278" s="15">
        <f>0+9650</f>
        <v>9650</v>
      </c>
      <c r="O278" s="15">
        <f>0+3860</f>
        <v>3860</v>
      </c>
    </row>
    <row r="279" spans="1:15" ht="24" customHeight="1" x14ac:dyDescent="0.2">
      <c r="A279" s="42"/>
      <c r="B279" s="42"/>
      <c r="C279" s="14" t="s">
        <v>4</v>
      </c>
      <c r="D279" s="20">
        <f t="shared" si="85"/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</row>
    <row r="280" spans="1:15" ht="24" customHeight="1" x14ac:dyDescent="0.2">
      <c r="A280" s="42" t="s">
        <v>143</v>
      </c>
      <c r="B280" s="42" t="s">
        <v>144</v>
      </c>
      <c r="C280" s="14" t="s">
        <v>92</v>
      </c>
      <c r="D280" s="20">
        <f t="shared" ref="D280:D282" si="88">E280+F280+G280+H280+I280+J280+K280+L280+M280+N280+O280</f>
        <v>3.8</v>
      </c>
      <c r="E280" s="15">
        <f>E281+E282+E283+E284</f>
        <v>0</v>
      </c>
      <c r="F280" s="15">
        <f t="shared" ref="F280:O280" si="89">F281+F282+F283+F284</f>
        <v>0</v>
      </c>
      <c r="G280" s="15">
        <f t="shared" si="89"/>
        <v>0</v>
      </c>
      <c r="H280" s="15">
        <f t="shared" si="89"/>
        <v>0</v>
      </c>
      <c r="I280" s="15">
        <f t="shared" si="89"/>
        <v>0</v>
      </c>
      <c r="J280" s="15">
        <f t="shared" si="89"/>
        <v>0</v>
      </c>
      <c r="K280" s="15">
        <f t="shared" si="89"/>
        <v>0</v>
      </c>
      <c r="L280" s="15">
        <f t="shared" si="89"/>
        <v>0</v>
      </c>
      <c r="M280" s="15">
        <f t="shared" si="89"/>
        <v>3.8</v>
      </c>
      <c r="N280" s="15">
        <f t="shared" si="89"/>
        <v>0</v>
      </c>
      <c r="O280" s="15">
        <f t="shared" si="89"/>
        <v>0</v>
      </c>
    </row>
    <row r="281" spans="1:15" ht="24" customHeight="1" x14ac:dyDescent="0.2">
      <c r="A281" s="42"/>
      <c r="B281" s="42"/>
      <c r="C281" s="14" t="s">
        <v>1</v>
      </c>
      <c r="D281" s="20">
        <f t="shared" si="88"/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</row>
    <row r="282" spans="1:15" ht="24" customHeight="1" x14ac:dyDescent="0.2">
      <c r="A282" s="42"/>
      <c r="B282" s="42"/>
      <c r="C282" s="14" t="s">
        <v>2</v>
      </c>
      <c r="D282" s="20">
        <f t="shared" si="88"/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</row>
    <row r="283" spans="1:15" ht="24" customHeight="1" x14ac:dyDescent="0.2">
      <c r="A283" s="42"/>
      <c r="B283" s="42"/>
      <c r="C283" s="14" t="s">
        <v>3</v>
      </c>
      <c r="D283" s="20">
        <f>E283+F283+G283+H283+I283+J283+K283+L283+M283+N283+O283</f>
        <v>3.8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3.8</v>
      </c>
      <c r="N283" s="15">
        <v>0</v>
      </c>
      <c r="O283" s="15">
        <v>0</v>
      </c>
    </row>
    <row r="284" spans="1:15" ht="24" customHeight="1" x14ac:dyDescent="0.2">
      <c r="A284" s="42"/>
      <c r="B284" s="42"/>
      <c r="C284" s="14" t="s">
        <v>4</v>
      </c>
      <c r="D284" s="20">
        <f t="shared" ref="D284" si="90">E284+F284+G284+H284+I284+J284+K284+L284+M284+N284+O284</f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</row>
    <row r="285" spans="1:15" ht="15.75" x14ac:dyDescent="0.2">
      <c r="A285" s="52" t="s">
        <v>104</v>
      </c>
      <c r="B285" s="52" t="s">
        <v>22</v>
      </c>
      <c r="C285" s="32" t="s">
        <v>92</v>
      </c>
      <c r="D285" s="10">
        <f>E285+F285+G285+H285+I285+J285+K285+L285+M285+N285+O285</f>
        <v>1474719.3000000003</v>
      </c>
      <c r="E285" s="10">
        <f>E286+E287+E288+E289</f>
        <v>114186.1</v>
      </c>
      <c r="F285" s="10">
        <f t="shared" ref="F285:O285" si="91">F286+F287+F288+F289</f>
        <v>58472.6</v>
      </c>
      <c r="G285" s="10">
        <f>G286+G287+G288+G289</f>
        <v>76160.299999999988</v>
      </c>
      <c r="H285" s="10">
        <f t="shared" si="91"/>
        <v>54676.599999999991</v>
      </c>
      <c r="I285" s="10">
        <f t="shared" si="91"/>
        <v>70255.3</v>
      </c>
      <c r="J285" s="10">
        <f t="shared" si="91"/>
        <v>91836.4</v>
      </c>
      <c r="K285" s="10">
        <f t="shared" si="91"/>
        <v>172629.5</v>
      </c>
      <c r="L285" s="10">
        <f>L286+L287+L288+L289</f>
        <v>322234.7</v>
      </c>
      <c r="M285" s="10">
        <f t="shared" si="91"/>
        <v>308989.59999999998</v>
      </c>
      <c r="N285" s="10">
        <f t="shared" si="91"/>
        <v>127881.1</v>
      </c>
      <c r="O285" s="10">
        <f t="shared" si="91"/>
        <v>77397.100000000006</v>
      </c>
    </row>
    <row r="286" spans="1:15" ht="15.75" x14ac:dyDescent="0.2">
      <c r="A286" s="52"/>
      <c r="B286" s="52"/>
      <c r="C286" s="17" t="s">
        <v>1</v>
      </c>
      <c r="D286" s="15">
        <f t="shared" si="83"/>
        <v>90215</v>
      </c>
      <c r="E286" s="15">
        <f>E291</f>
        <v>11115</v>
      </c>
      <c r="F286" s="15">
        <f t="shared" ref="F286:O286" si="92">F291</f>
        <v>0</v>
      </c>
      <c r="G286" s="15">
        <f t="shared" si="92"/>
        <v>1600</v>
      </c>
      <c r="H286" s="15">
        <f t="shared" si="92"/>
        <v>0</v>
      </c>
      <c r="I286" s="15">
        <f t="shared" si="92"/>
        <v>0</v>
      </c>
      <c r="J286" s="15">
        <f t="shared" si="92"/>
        <v>0</v>
      </c>
      <c r="K286" s="15">
        <f t="shared" si="92"/>
        <v>0</v>
      </c>
      <c r="L286" s="15">
        <f t="shared" si="92"/>
        <v>77500</v>
      </c>
      <c r="M286" s="15">
        <f t="shared" si="92"/>
        <v>0</v>
      </c>
      <c r="N286" s="15">
        <f t="shared" si="92"/>
        <v>0</v>
      </c>
      <c r="O286" s="15">
        <f t="shared" si="92"/>
        <v>0</v>
      </c>
    </row>
    <row r="287" spans="1:15" ht="15.75" x14ac:dyDescent="0.2">
      <c r="A287" s="52"/>
      <c r="B287" s="52"/>
      <c r="C287" s="17" t="s">
        <v>2</v>
      </c>
      <c r="D287" s="15">
        <f t="shared" si="83"/>
        <v>383834.9</v>
      </c>
      <c r="E287" s="15">
        <f>E292</f>
        <v>9232.6</v>
      </c>
      <c r="F287" s="15">
        <f t="shared" ref="F287:O288" si="93">F292</f>
        <v>0</v>
      </c>
      <c r="G287" s="15">
        <f t="shared" si="93"/>
        <v>0</v>
      </c>
      <c r="H287" s="15">
        <f t="shared" si="93"/>
        <v>0</v>
      </c>
      <c r="I287" s="15">
        <f t="shared" si="93"/>
        <v>0</v>
      </c>
      <c r="J287" s="15">
        <f t="shared" si="93"/>
        <v>12354.5</v>
      </c>
      <c r="K287" s="15">
        <f t="shared" si="93"/>
        <v>24551.200000000001</v>
      </c>
      <c r="L287" s="15">
        <f>L292</f>
        <v>77527</v>
      </c>
      <c r="M287" s="15">
        <f t="shared" si="93"/>
        <v>213804.6</v>
      </c>
      <c r="N287" s="15">
        <f t="shared" si="93"/>
        <v>46365</v>
      </c>
      <c r="O287" s="15">
        <f t="shared" si="93"/>
        <v>0</v>
      </c>
    </row>
    <row r="288" spans="1:15" ht="15.75" x14ac:dyDescent="0.2">
      <c r="A288" s="52"/>
      <c r="B288" s="52"/>
      <c r="C288" s="17" t="s">
        <v>3</v>
      </c>
      <c r="D288" s="15">
        <f t="shared" si="83"/>
        <v>1000669.3999999999</v>
      </c>
      <c r="E288" s="15">
        <f>E293</f>
        <v>93838.5</v>
      </c>
      <c r="F288" s="15">
        <f t="shared" si="93"/>
        <v>58472.6</v>
      </c>
      <c r="G288" s="15">
        <f t="shared" si="93"/>
        <v>74560.299999999988</v>
      </c>
      <c r="H288" s="15">
        <f t="shared" si="93"/>
        <v>54676.599999999991</v>
      </c>
      <c r="I288" s="15">
        <f t="shared" si="93"/>
        <v>70255.3</v>
      </c>
      <c r="J288" s="15">
        <f t="shared" si="93"/>
        <v>79481.899999999994</v>
      </c>
      <c r="K288" s="15">
        <f>K293</f>
        <v>148078.29999999999</v>
      </c>
      <c r="L288" s="15">
        <f>L293</f>
        <v>167207.70000000001</v>
      </c>
      <c r="M288" s="15">
        <f>M293</f>
        <v>95185</v>
      </c>
      <c r="N288" s="15">
        <f t="shared" si="93"/>
        <v>81516.100000000006</v>
      </c>
      <c r="O288" s="15">
        <f t="shared" si="93"/>
        <v>77397.100000000006</v>
      </c>
    </row>
    <row r="289" spans="1:15" ht="16.5" customHeight="1" x14ac:dyDescent="0.2">
      <c r="A289" s="52"/>
      <c r="B289" s="52"/>
      <c r="C289" s="17" t="s">
        <v>4</v>
      </c>
      <c r="D289" s="15">
        <f t="shared" si="83"/>
        <v>0</v>
      </c>
      <c r="E289" s="15">
        <f>E294</f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</row>
    <row r="290" spans="1:15" ht="15.75" x14ac:dyDescent="0.2">
      <c r="A290" s="42" t="s">
        <v>43</v>
      </c>
      <c r="B290" s="42" t="s">
        <v>42</v>
      </c>
      <c r="C290" s="17" t="s">
        <v>92</v>
      </c>
      <c r="D290" s="15">
        <f t="shared" si="83"/>
        <v>1474719.3000000003</v>
      </c>
      <c r="E290" s="15">
        <f>E291+E292+E293+E294</f>
        <v>114186.1</v>
      </c>
      <c r="F290" s="15">
        <f t="shared" ref="F290:O290" si="94">F291+F292+F293+F294</f>
        <v>58472.6</v>
      </c>
      <c r="G290" s="15">
        <f t="shared" si="94"/>
        <v>76160.299999999988</v>
      </c>
      <c r="H290" s="15">
        <f t="shared" si="94"/>
        <v>54676.599999999991</v>
      </c>
      <c r="I290" s="15">
        <f t="shared" si="94"/>
        <v>70255.3</v>
      </c>
      <c r="J290" s="15">
        <f t="shared" si="94"/>
        <v>91836.4</v>
      </c>
      <c r="K290" s="15">
        <f>K291+K292+K293+K294</f>
        <v>172629.5</v>
      </c>
      <c r="L290" s="15">
        <f>L291+L292+L293+L294</f>
        <v>322234.7</v>
      </c>
      <c r="M290" s="15">
        <f>M291+M292+M293+M294</f>
        <v>308989.59999999998</v>
      </c>
      <c r="N290" s="15">
        <f t="shared" si="94"/>
        <v>127881.1</v>
      </c>
      <c r="O290" s="15">
        <f t="shared" si="94"/>
        <v>77397.100000000006</v>
      </c>
    </row>
    <row r="291" spans="1:15" ht="15.75" x14ac:dyDescent="0.2">
      <c r="A291" s="52"/>
      <c r="B291" s="52"/>
      <c r="C291" s="17" t="s">
        <v>1</v>
      </c>
      <c r="D291" s="15">
        <f>E291+F291+G291+H291+I291+J291+K291+L291+M291+N291+O291</f>
        <v>90215</v>
      </c>
      <c r="E291" s="15">
        <f>E296+E301+E306+E311+E316+E321+E326+E336+E331</f>
        <v>11115</v>
      </c>
      <c r="F291" s="15">
        <f t="shared" ref="F291:K291" si="95">F296+F301+F306+F311+F316+F321+F326+F336+F331</f>
        <v>0</v>
      </c>
      <c r="G291" s="15">
        <f t="shared" si="95"/>
        <v>1600</v>
      </c>
      <c r="H291" s="15">
        <f t="shared" si="95"/>
        <v>0</v>
      </c>
      <c r="I291" s="15">
        <f t="shared" si="95"/>
        <v>0</v>
      </c>
      <c r="J291" s="15">
        <f t="shared" si="95"/>
        <v>0</v>
      </c>
      <c r="K291" s="15">
        <f t="shared" si="95"/>
        <v>0</v>
      </c>
      <c r="L291" s="15">
        <f>L296+L301+L306+L311+L316+L321+L326+L336+L331+L341+L346+L351+L356</f>
        <v>77500</v>
      </c>
      <c r="M291" s="15">
        <f t="shared" ref="M291:O291" si="96">M296+M301+M306+M311+M316+M321+M326+M336+M331+M341+M346+M351+M356</f>
        <v>0</v>
      </c>
      <c r="N291" s="15">
        <f t="shared" si="96"/>
        <v>0</v>
      </c>
      <c r="O291" s="15">
        <f t="shared" si="96"/>
        <v>0</v>
      </c>
    </row>
    <row r="292" spans="1:15" ht="15" customHeight="1" x14ac:dyDescent="0.2">
      <c r="A292" s="52"/>
      <c r="B292" s="52"/>
      <c r="C292" s="17" t="s">
        <v>2</v>
      </c>
      <c r="D292" s="15">
        <f t="shared" si="83"/>
        <v>383834.9</v>
      </c>
      <c r="E292" s="15">
        <f>E297+E302+E307+E312+E317+E322+E327+E337+E332+E342</f>
        <v>9232.6</v>
      </c>
      <c r="F292" s="15">
        <f t="shared" ref="F292:K292" si="97">F297+F302+F307+F312+F317+F322+F327+F337+F332+F342</f>
        <v>0</v>
      </c>
      <c r="G292" s="15">
        <f t="shared" si="97"/>
        <v>0</v>
      </c>
      <c r="H292" s="15">
        <f t="shared" si="97"/>
        <v>0</v>
      </c>
      <c r="I292" s="15">
        <f t="shared" si="97"/>
        <v>0</v>
      </c>
      <c r="J292" s="15">
        <f>J297+J302+J307+J312+J317+J322+J327+J337+J332+J342</f>
        <v>12354.5</v>
      </c>
      <c r="K292" s="15">
        <f t="shared" si="97"/>
        <v>24551.200000000001</v>
      </c>
      <c r="L292" s="15">
        <f>L297+L302+L307+L312+L317+L322+L327+L337+L332+L342+L347+L352+L357</f>
        <v>77527</v>
      </c>
      <c r="M292" s="15">
        <f>M297+M302+M307+M312+M317+M322+M327+M337+M332+M342+M347+M352+M357+M360</f>
        <v>213804.6</v>
      </c>
      <c r="N292" s="15">
        <f t="shared" ref="N292:O292" si="98">N297+N302+N307+N312+N317+N322+N327+N337+N332+N342+N347+N352+N357</f>
        <v>46365</v>
      </c>
      <c r="O292" s="15">
        <f t="shared" si="98"/>
        <v>0</v>
      </c>
    </row>
    <row r="293" spans="1:15" ht="15.75" x14ac:dyDescent="0.2">
      <c r="A293" s="52"/>
      <c r="B293" s="52"/>
      <c r="C293" s="17" t="s">
        <v>3</v>
      </c>
      <c r="D293" s="15">
        <f t="shared" si="83"/>
        <v>1000669.3999999999</v>
      </c>
      <c r="E293" s="15">
        <f>E298+E303+E308+E313+E318+E323+E328+E338+E333+E343</f>
        <v>93838.5</v>
      </c>
      <c r="F293" s="15">
        <f t="shared" ref="F293:I293" si="99">F298+F303+F308+F313+F318+F323+F328+F338+F333+F343</f>
        <v>58472.6</v>
      </c>
      <c r="G293" s="15">
        <f t="shared" si="99"/>
        <v>74560.299999999988</v>
      </c>
      <c r="H293" s="15">
        <f t="shared" si="99"/>
        <v>54676.599999999991</v>
      </c>
      <c r="I293" s="15">
        <f t="shared" si="99"/>
        <v>70255.3</v>
      </c>
      <c r="J293" s="15">
        <f>J298+J303+J308+J313+J318+J323+J328+J338+J333+J343</f>
        <v>79481.899999999994</v>
      </c>
      <c r="K293" s="15">
        <f>K298+K303+K308+K313+K318+K323+K328+K338+K333+K343+K348</f>
        <v>148078.29999999999</v>
      </c>
      <c r="L293" s="15">
        <f>L298+L303+L308+L313+L318+L323+L328+L338+L333+L343+L353+L358</f>
        <v>167207.70000000001</v>
      </c>
      <c r="M293" s="15">
        <f>M298+M303+M308+M313+M318+M323+M328+M338+M333+M343+M353+M358</f>
        <v>95185</v>
      </c>
      <c r="N293" s="15">
        <f t="shared" ref="N293:O293" si="100">N298+N303+N308+N313+N318+N323+N328+N338+N333+N343+N353+N358</f>
        <v>81516.100000000006</v>
      </c>
      <c r="O293" s="15">
        <f t="shared" si="100"/>
        <v>77397.100000000006</v>
      </c>
    </row>
    <row r="294" spans="1:15" ht="19.5" customHeight="1" x14ac:dyDescent="0.2">
      <c r="A294" s="52"/>
      <c r="B294" s="52"/>
      <c r="C294" s="17" t="s">
        <v>4</v>
      </c>
      <c r="D294" s="15">
        <f t="shared" si="83"/>
        <v>0</v>
      </c>
      <c r="E294" s="15">
        <f>E299+E304+E309+E314+E319+E324+E329+E339+E334</f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</row>
    <row r="295" spans="1:15" ht="21" customHeight="1" x14ac:dyDescent="0.2">
      <c r="A295" s="42" t="s">
        <v>44</v>
      </c>
      <c r="B295" s="42" t="s">
        <v>16</v>
      </c>
      <c r="C295" s="17" t="s">
        <v>92</v>
      </c>
      <c r="D295" s="15">
        <f t="shared" si="83"/>
        <v>24539.599999999999</v>
      </c>
      <c r="E295" s="15">
        <f>E296+E297+E298+E299</f>
        <v>24539.599999999999</v>
      </c>
      <c r="F295" s="15">
        <f t="shared" ref="F295:O295" si="101">F296+F297+F298+F299</f>
        <v>0</v>
      </c>
      <c r="G295" s="15">
        <f t="shared" si="101"/>
        <v>0</v>
      </c>
      <c r="H295" s="15">
        <f t="shared" si="101"/>
        <v>0</v>
      </c>
      <c r="I295" s="15">
        <f t="shared" si="101"/>
        <v>0</v>
      </c>
      <c r="J295" s="15">
        <f t="shared" si="101"/>
        <v>0</v>
      </c>
      <c r="K295" s="15">
        <f t="shared" si="101"/>
        <v>0</v>
      </c>
      <c r="L295" s="15">
        <f t="shared" si="101"/>
        <v>0</v>
      </c>
      <c r="M295" s="15">
        <f t="shared" si="101"/>
        <v>0</v>
      </c>
      <c r="N295" s="15">
        <f t="shared" si="101"/>
        <v>0</v>
      </c>
      <c r="O295" s="15">
        <f t="shared" si="101"/>
        <v>0</v>
      </c>
    </row>
    <row r="296" spans="1:15" ht="21" customHeight="1" x14ac:dyDescent="0.2">
      <c r="A296" s="42"/>
      <c r="B296" s="42"/>
      <c r="C296" s="17" t="s">
        <v>1</v>
      </c>
      <c r="D296" s="15">
        <f t="shared" si="83"/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</row>
    <row r="297" spans="1:15" ht="21" customHeight="1" x14ac:dyDescent="0.2">
      <c r="A297" s="42"/>
      <c r="B297" s="42"/>
      <c r="C297" s="17" t="s">
        <v>2</v>
      </c>
      <c r="D297" s="15">
        <f t="shared" si="83"/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</row>
    <row r="298" spans="1:15" ht="21" customHeight="1" x14ac:dyDescent="0.2">
      <c r="A298" s="42"/>
      <c r="B298" s="42"/>
      <c r="C298" s="17" t="s">
        <v>3</v>
      </c>
      <c r="D298" s="15">
        <f t="shared" si="83"/>
        <v>24539.599999999999</v>
      </c>
      <c r="E298" s="15">
        <v>24539.599999999999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</row>
    <row r="299" spans="1:15" ht="69" customHeight="1" x14ac:dyDescent="0.2">
      <c r="A299" s="42"/>
      <c r="B299" s="42"/>
      <c r="C299" s="17" t="s">
        <v>4</v>
      </c>
      <c r="D299" s="15">
        <f t="shared" si="83"/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</row>
    <row r="300" spans="1:15" ht="66" customHeight="1" x14ac:dyDescent="0.2">
      <c r="A300" s="42" t="s">
        <v>45</v>
      </c>
      <c r="B300" s="42" t="s">
        <v>93</v>
      </c>
      <c r="C300" s="17" t="s">
        <v>92</v>
      </c>
      <c r="D300" s="15">
        <f t="shared" si="83"/>
        <v>5889.7</v>
      </c>
      <c r="E300" s="20">
        <f>E301+E302+E303+E304</f>
        <v>992</v>
      </c>
      <c r="F300" s="20">
        <f t="shared" ref="F300:O300" si="102">F301+F302+F303+F304</f>
        <v>993.5</v>
      </c>
      <c r="G300" s="20">
        <f t="shared" si="102"/>
        <v>989.7</v>
      </c>
      <c r="H300" s="20">
        <f t="shared" si="102"/>
        <v>286.60000000000002</v>
      </c>
      <c r="I300" s="20">
        <f t="shared" si="102"/>
        <v>369</v>
      </c>
      <c r="J300" s="20">
        <f t="shared" si="102"/>
        <v>343</v>
      </c>
      <c r="K300" s="20">
        <f t="shared" si="102"/>
        <v>507.2</v>
      </c>
      <c r="L300" s="20">
        <f t="shared" si="102"/>
        <v>487.4</v>
      </c>
      <c r="M300" s="20">
        <f t="shared" si="102"/>
        <v>275.89999999999998</v>
      </c>
      <c r="N300" s="20">
        <f t="shared" si="102"/>
        <v>325.10000000000002</v>
      </c>
      <c r="O300" s="20">
        <f t="shared" si="102"/>
        <v>320.29999999999995</v>
      </c>
    </row>
    <row r="301" spans="1:15" ht="15.75" x14ac:dyDescent="0.2">
      <c r="A301" s="42"/>
      <c r="B301" s="42"/>
      <c r="C301" s="17" t="s">
        <v>1</v>
      </c>
      <c r="D301" s="15">
        <f t="shared" si="83"/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</row>
    <row r="302" spans="1:15" ht="15.75" x14ac:dyDescent="0.2">
      <c r="A302" s="42"/>
      <c r="B302" s="42"/>
      <c r="C302" s="17" t="s">
        <v>2</v>
      </c>
      <c r="D302" s="15">
        <f t="shared" si="83"/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</row>
    <row r="303" spans="1:15" ht="15.75" x14ac:dyDescent="0.2">
      <c r="A303" s="42"/>
      <c r="B303" s="42"/>
      <c r="C303" s="17" t="s">
        <v>3</v>
      </c>
      <c r="D303" s="15">
        <f t="shared" si="83"/>
        <v>5889.7</v>
      </c>
      <c r="E303" s="15">
        <v>992</v>
      </c>
      <c r="F303" s="20">
        <v>993.5</v>
      </c>
      <c r="G303" s="20">
        <v>989.7</v>
      </c>
      <c r="H303" s="20">
        <v>286.60000000000002</v>
      </c>
      <c r="I303" s="15">
        <v>369</v>
      </c>
      <c r="J303" s="15">
        <v>343</v>
      </c>
      <c r="K303" s="15">
        <f>326.5+180.7</f>
        <v>507.2</v>
      </c>
      <c r="L303" s="15">
        <f>487.4-4.7+4.7</f>
        <v>487.4</v>
      </c>
      <c r="M303" s="15">
        <f>195.8+80.1</f>
        <v>275.89999999999998</v>
      </c>
      <c r="N303" s="15">
        <f>196.8+128.3</f>
        <v>325.10000000000002</v>
      </c>
      <c r="O303" s="15">
        <f>510.4-190.1</f>
        <v>320.29999999999995</v>
      </c>
    </row>
    <row r="304" spans="1:15" ht="37.5" customHeight="1" x14ac:dyDescent="0.2">
      <c r="A304" s="53"/>
      <c r="B304" s="42"/>
      <c r="C304" s="17" t="s">
        <v>4</v>
      </c>
      <c r="D304" s="15">
        <f t="shared" si="83"/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</row>
    <row r="305" spans="1:18" ht="15.75" x14ac:dyDescent="0.2">
      <c r="A305" s="42" t="s">
        <v>46</v>
      </c>
      <c r="B305" s="42" t="s">
        <v>100</v>
      </c>
      <c r="C305" s="17" t="s">
        <v>92</v>
      </c>
      <c r="D305" s="15">
        <f t="shared" si="83"/>
        <v>437745.1</v>
      </c>
      <c r="E305" s="20">
        <f>E306+E307+E308+E309</f>
        <v>34782.9</v>
      </c>
      <c r="F305" s="20">
        <f t="shared" ref="F305:O305" si="103">F306+F307+F308+F309</f>
        <v>43719.7</v>
      </c>
      <c r="G305" s="20">
        <f t="shared" si="103"/>
        <v>38435</v>
      </c>
      <c r="H305" s="20">
        <f t="shared" si="103"/>
        <v>38370.199999999997</v>
      </c>
      <c r="I305" s="20">
        <f t="shared" si="103"/>
        <v>39373.599999999999</v>
      </c>
      <c r="J305" s="20">
        <f t="shared" si="103"/>
        <v>46117.1</v>
      </c>
      <c r="K305" s="20">
        <f t="shared" si="103"/>
        <v>45170</v>
      </c>
      <c r="L305" s="20">
        <f t="shared" si="103"/>
        <v>56558.8</v>
      </c>
      <c r="M305" s="20">
        <f>M306+M307+M308+M309</f>
        <v>37591.699999999997</v>
      </c>
      <c r="N305" s="20">
        <f t="shared" si="103"/>
        <v>29027.3</v>
      </c>
      <c r="O305" s="20">
        <f t="shared" si="103"/>
        <v>28598.799999999999</v>
      </c>
      <c r="R305" s="11"/>
    </row>
    <row r="306" spans="1:18" ht="15.75" x14ac:dyDescent="0.2">
      <c r="A306" s="42"/>
      <c r="B306" s="42"/>
      <c r="C306" s="17" t="s">
        <v>1</v>
      </c>
      <c r="D306" s="15">
        <f t="shared" si="83"/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</row>
    <row r="307" spans="1:18" ht="15.75" x14ac:dyDescent="0.2">
      <c r="A307" s="42"/>
      <c r="B307" s="42"/>
      <c r="C307" s="17" t="s">
        <v>2</v>
      </c>
      <c r="D307" s="15">
        <f t="shared" si="83"/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</row>
    <row r="308" spans="1:18" ht="15.75" x14ac:dyDescent="0.2">
      <c r="A308" s="42"/>
      <c r="B308" s="42"/>
      <c r="C308" s="17" t="s">
        <v>3</v>
      </c>
      <c r="D308" s="15">
        <f t="shared" si="83"/>
        <v>437745.1</v>
      </c>
      <c r="E308" s="15">
        <v>34782.9</v>
      </c>
      <c r="F308" s="15">
        <v>43719.7</v>
      </c>
      <c r="G308" s="20">
        <v>38435</v>
      </c>
      <c r="H308" s="20">
        <v>38370.199999999997</v>
      </c>
      <c r="I308" s="20">
        <f>42601-3227.4</f>
        <v>39373.599999999999</v>
      </c>
      <c r="J308" s="15">
        <f>48257.1-2140</f>
        <v>46117.1</v>
      </c>
      <c r="K308" s="15">
        <v>45170</v>
      </c>
      <c r="L308" s="15">
        <f>17298.9+138.7+16014.8+10063+5043.4+8000</f>
        <v>56558.8</v>
      </c>
      <c r="M308" s="15">
        <f>0+24632.4+8339.3+4620</f>
        <v>37591.699999999997</v>
      </c>
      <c r="N308" s="15">
        <f>12889.4+16137.9</f>
        <v>29027.3</v>
      </c>
      <c r="O308" s="15">
        <f>28272+326.8</f>
        <v>28598.799999999999</v>
      </c>
    </row>
    <row r="309" spans="1:18" ht="15.75" customHeight="1" x14ac:dyDescent="0.2">
      <c r="A309" s="53"/>
      <c r="B309" s="42"/>
      <c r="C309" s="17" t="s">
        <v>4</v>
      </c>
      <c r="D309" s="15">
        <f t="shared" si="83"/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</row>
    <row r="310" spans="1:18" ht="31.5" customHeight="1" x14ac:dyDescent="0.2">
      <c r="A310" s="42" t="s">
        <v>47</v>
      </c>
      <c r="B310" s="42" t="s">
        <v>70</v>
      </c>
      <c r="C310" s="17" t="s">
        <v>92</v>
      </c>
      <c r="D310" s="15">
        <f t="shared" si="83"/>
        <v>429608.1</v>
      </c>
      <c r="E310" s="20">
        <f>E311+E312+E313+E314</f>
        <v>11338.9</v>
      </c>
      <c r="F310" s="20">
        <f t="shared" ref="F310:O310" si="104">F311+F312+F313+F314</f>
        <v>9535.9</v>
      </c>
      <c r="G310" s="20">
        <f t="shared" si="104"/>
        <v>30837.1</v>
      </c>
      <c r="H310" s="20">
        <f t="shared" si="104"/>
        <v>11594.3</v>
      </c>
      <c r="I310" s="20">
        <f t="shared" si="104"/>
        <v>25497.300000000003</v>
      </c>
      <c r="J310" s="20">
        <f t="shared" si="104"/>
        <v>21781.1</v>
      </c>
      <c r="K310" s="20">
        <f t="shared" si="104"/>
        <v>83536.899999999994</v>
      </c>
      <c r="L310" s="20">
        <f t="shared" si="104"/>
        <v>85050.3</v>
      </c>
      <c r="M310" s="20">
        <f t="shared" si="104"/>
        <v>52754.3</v>
      </c>
      <c r="N310" s="20">
        <f t="shared" si="104"/>
        <v>49204.100000000006</v>
      </c>
      <c r="O310" s="20">
        <f t="shared" si="104"/>
        <v>48477.9</v>
      </c>
    </row>
    <row r="311" spans="1:18" ht="28.5" customHeight="1" x14ac:dyDescent="0.2">
      <c r="A311" s="42"/>
      <c r="B311" s="42"/>
      <c r="C311" s="17" t="s">
        <v>1</v>
      </c>
      <c r="D311" s="15">
        <f t="shared" si="83"/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</row>
    <row r="312" spans="1:18" ht="28.5" customHeight="1" x14ac:dyDescent="0.2">
      <c r="A312" s="42"/>
      <c r="B312" s="42"/>
      <c r="C312" s="17" t="s">
        <v>2</v>
      </c>
      <c r="D312" s="15">
        <f t="shared" si="83"/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</row>
    <row r="313" spans="1:18" ht="28.5" customHeight="1" x14ac:dyDescent="0.2">
      <c r="A313" s="42"/>
      <c r="B313" s="42"/>
      <c r="C313" s="17" t="s">
        <v>3</v>
      </c>
      <c r="D313" s="15">
        <f t="shared" si="83"/>
        <v>429608.1</v>
      </c>
      <c r="E313" s="15">
        <v>11338.9</v>
      </c>
      <c r="F313" s="15">
        <v>9535.9</v>
      </c>
      <c r="G313" s="15">
        <v>30837.1</v>
      </c>
      <c r="H313" s="15">
        <v>11594.3</v>
      </c>
      <c r="I313" s="15">
        <f>22269.9+3227.4</f>
        <v>25497.300000000003</v>
      </c>
      <c r="J313" s="15">
        <f>16107.4+5673.7</f>
        <v>21781.1</v>
      </c>
      <c r="K313" s="15">
        <v>83536.899999999994</v>
      </c>
      <c r="L313" s="15">
        <f>31479.7+27440.2+14843.2+11287.2-0.3+0.3</f>
        <v>85050.3</v>
      </c>
      <c r="M313" s="15">
        <f>2789.7-2789.7+41754.4-0.1+11000</f>
        <v>52754.3</v>
      </c>
      <c r="N313" s="15">
        <f>2803.3+46400.9-0.1</f>
        <v>49204.100000000006</v>
      </c>
      <c r="O313" s="15">
        <f>18699.4+29778.6-0.1</f>
        <v>48477.9</v>
      </c>
      <c r="R313" s="11"/>
    </row>
    <row r="314" spans="1:18" ht="33" customHeight="1" x14ac:dyDescent="0.2">
      <c r="A314" s="53"/>
      <c r="B314" s="42"/>
      <c r="C314" s="17" t="s">
        <v>4</v>
      </c>
      <c r="D314" s="15">
        <f t="shared" si="83"/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</row>
    <row r="315" spans="1:18" ht="16.5" customHeight="1" x14ac:dyDescent="0.2">
      <c r="A315" s="42" t="s">
        <v>48</v>
      </c>
      <c r="B315" s="42" t="s">
        <v>57</v>
      </c>
      <c r="C315" s="17" t="s">
        <v>92</v>
      </c>
      <c r="D315" s="15">
        <f>SUM(E315:O315)</f>
        <v>8690.7999999999993</v>
      </c>
      <c r="E315" s="15">
        <f>SUM(E316:E319)</f>
        <v>8690.7999999999993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</row>
    <row r="316" spans="1:18" ht="18.75" customHeight="1" x14ac:dyDescent="0.2">
      <c r="A316" s="42"/>
      <c r="B316" s="43"/>
      <c r="C316" s="17" t="s">
        <v>1</v>
      </c>
      <c r="D316" s="15">
        <f>E316+F316+G316+H316+I316+J316+K316+L316+M316+N316+O316</f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</row>
    <row r="317" spans="1:18" ht="18.75" customHeight="1" x14ac:dyDescent="0.2">
      <c r="A317" s="42"/>
      <c r="B317" s="43"/>
      <c r="C317" s="17" t="s">
        <v>2</v>
      </c>
      <c r="D317" s="15">
        <f>E317+F317+G317+H317+I317+J317+K317+L317+M317+N317+O317</f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</row>
    <row r="318" spans="1:18" ht="18.75" customHeight="1" x14ac:dyDescent="0.2">
      <c r="A318" s="42"/>
      <c r="B318" s="43"/>
      <c r="C318" s="17" t="s">
        <v>3</v>
      </c>
      <c r="D318" s="15">
        <f>E318+F318+G318+H318+I318+J318+K318+L318+M318+N318+O318</f>
        <v>8690.7999999999993</v>
      </c>
      <c r="E318" s="15">
        <v>8690.7999999999993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</row>
    <row r="319" spans="1:18" ht="44.25" customHeight="1" x14ac:dyDescent="0.2">
      <c r="A319" s="42"/>
      <c r="B319" s="43"/>
      <c r="C319" s="17" t="s">
        <v>4</v>
      </c>
      <c r="D319" s="15">
        <f>E319+F319+G319+H319+I319+J319+K319+L319+M319+N319+O319</f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</row>
    <row r="320" spans="1:18" ht="15.75" x14ac:dyDescent="0.2">
      <c r="A320" s="42" t="s">
        <v>49</v>
      </c>
      <c r="B320" s="42" t="s">
        <v>95</v>
      </c>
      <c r="C320" s="17" t="s">
        <v>92</v>
      </c>
      <c r="D320" s="20">
        <f>E320+F320+G320+H320+I320+J320+K320+L320+M320+N320+O320</f>
        <v>27987.9</v>
      </c>
      <c r="E320" s="20">
        <f t="shared" ref="E320:O320" si="105">E321+E322+E323+E324</f>
        <v>4261.7</v>
      </c>
      <c r="F320" s="20">
        <f t="shared" si="105"/>
        <v>4159.8</v>
      </c>
      <c r="G320" s="20">
        <f t="shared" si="105"/>
        <v>4208.5</v>
      </c>
      <c r="H320" s="20">
        <f t="shared" si="105"/>
        <v>4395.5</v>
      </c>
      <c r="I320" s="20">
        <f t="shared" si="105"/>
        <v>5015.3999999999996</v>
      </c>
      <c r="J320" s="20">
        <f t="shared" si="105"/>
        <v>5376.7999999999993</v>
      </c>
      <c r="K320" s="20">
        <f>K321+K322+K323+K324</f>
        <v>570.20000000000005</v>
      </c>
      <c r="L320" s="20">
        <f t="shared" si="105"/>
        <v>0</v>
      </c>
      <c r="M320" s="20">
        <f t="shared" si="105"/>
        <v>0</v>
      </c>
      <c r="N320" s="20">
        <f t="shared" si="105"/>
        <v>0</v>
      </c>
      <c r="O320" s="20">
        <f t="shared" si="105"/>
        <v>0</v>
      </c>
    </row>
    <row r="321" spans="1:15" ht="15.75" x14ac:dyDescent="0.2">
      <c r="A321" s="42"/>
      <c r="B321" s="43"/>
      <c r="C321" s="17" t="s">
        <v>1</v>
      </c>
      <c r="D321" s="20">
        <f t="shared" ref="D321:D339" si="106">E321+F321+G321+H321+I321+J321+K321+L321+M321+N321+O321</f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</row>
    <row r="322" spans="1:15" ht="15.75" x14ac:dyDescent="0.2">
      <c r="A322" s="42"/>
      <c r="B322" s="43"/>
      <c r="C322" s="17" t="s">
        <v>2</v>
      </c>
      <c r="D322" s="20">
        <f t="shared" si="106"/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</row>
    <row r="323" spans="1:15" ht="15.75" x14ac:dyDescent="0.2">
      <c r="A323" s="42"/>
      <c r="B323" s="43"/>
      <c r="C323" s="17" t="s">
        <v>3</v>
      </c>
      <c r="D323" s="20">
        <f t="shared" si="106"/>
        <v>27987.9</v>
      </c>
      <c r="E323" s="20">
        <v>4261.7</v>
      </c>
      <c r="F323" s="20">
        <v>4159.8</v>
      </c>
      <c r="G323" s="20">
        <v>4208.5</v>
      </c>
      <c r="H323" s="20">
        <v>4395.5</v>
      </c>
      <c r="I323" s="20">
        <f>5054-38.6</f>
        <v>5015.3999999999996</v>
      </c>
      <c r="J323" s="15">
        <f>4981.4+60+838.4-503</f>
        <v>5376.7999999999993</v>
      </c>
      <c r="K323" s="15">
        <f>757.7-187.5</f>
        <v>570.20000000000005</v>
      </c>
      <c r="L323" s="15">
        <v>0</v>
      </c>
      <c r="M323" s="15">
        <v>0</v>
      </c>
      <c r="N323" s="15">
        <v>0</v>
      </c>
      <c r="O323" s="15">
        <f>5910.8-5910.8</f>
        <v>0</v>
      </c>
    </row>
    <row r="324" spans="1:15" ht="15.75" customHeight="1" x14ac:dyDescent="0.2">
      <c r="A324" s="42"/>
      <c r="B324" s="43"/>
      <c r="C324" s="17" t="s">
        <v>4</v>
      </c>
      <c r="D324" s="20">
        <f t="shared" si="106"/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</row>
    <row r="325" spans="1:15" ht="15.75" x14ac:dyDescent="0.2">
      <c r="A325" s="42" t="s">
        <v>50</v>
      </c>
      <c r="B325" s="42" t="s">
        <v>20</v>
      </c>
      <c r="C325" s="17" t="s">
        <v>92</v>
      </c>
      <c r="D325" s="20">
        <f t="shared" si="106"/>
        <v>29580.199999999997</v>
      </c>
      <c r="E325" s="20">
        <f>E326+E327+E328+E329</f>
        <v>29580.199999999997</v>
      </c>
      <c r="F325" s="15">
        <v>0</v>
      </c>
      <c r="G325" s="15">
        <f>G326+G327+G328+G329</f>
        <v>0</v>
      </c>
      <c r="H325" s="15">
        <v>0</v>
      </c>
      <c r="I325" s="15">
        <v>0</v>
      </c>
      <c r="J325" s="15">
        <v>0</v>
      </c>
      <c r="K325" s="15">
        <v>0</v>
      </c>
      <c r="L325" s="20">
        <f>L326+L327+L328+L329</f>
        <v>0</v>
      </c>
      <c r="M325" s="20">
        <f>M326+M327+M328+M329</f>
        <v>0</v>
      </c>
      <c r="N325" s="20">
        <f>N326+N327+N328+N329</f>
        <v>0</v>
      </c>
      <c r="O325" s="15">
        <v>0</v>
      </c>
    </row>
    <row r="326" spans="1:15" ht="15.75" x14ac:dyDescent="0.2">
      <c r="A326" s="42"/>
      <c r="B326" s="50"/>
      <c r="C326" s="17" t="s">
        <v>1</v>
      </c>
      <c r="D326" s="20">
        <f t="shared" si="106"/>
        <v>11115</v>
      </c>
      <c r="E326" s="20">
        <v>11115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</row>
    <row r="327" spans="1:15" ht="15.75" x14ac:dyDescent="0.2">
      <c r="A327" s="42"/>
      <c r="B327" s="50"/>
      <c r="C327" s="17" t="s">
        <v>2</v>
      </c>
      <c r="D327" s="20">
        <f t="shared" si="106"/>
        <v>9232.6</v>
      </c>
      <c r="E327" s="20">
        <v>9232.6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</row>
    <row r="328" spans="1:15" ht="15.75" x14ac:dyDescent="0.2">
      <c r="A328" s="42"/>
      <c r="B328" s="50"/>
      <c r="C328" s="17" t="s">
        <v>3</v>
      </c>
      <c r="D328" s="20">
        <f t="shared" si="106"/>
        <v>9232.6</v>
      </c>
      <c r="E328" s="20">
        <v>9232.6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</row>
    <row r="329" spans="1:15" ht="17.25" customHeight="1" x14ac:dyDescent="0.2">
      <c r="A329" s="42"/>
      <c r="B329" s="50"/>
      <c r="C329" s="17" t="s">
        <v>4</v>
      </c>
      <c r="D329" s="20">
        <f t="shared" si="106"/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</row>
    <row r="330" spans="1:15" ht="15.75" x14ac:dyDescent="0.2">
      <c r="A330" s="42" t="s">
        <v>59</v>
      </c>
      <c r="B330" s="42" t="s">
        <v>138</v>
      </c>
      <c r="C330" s="17" t="s">
        <v>92</v>
      </c>
      <c r="D330" s="20">
        <f>E330+F330+G330+H330+I330+J330+K330+L330+M330+N330+O330</f>
        <v>286.60000000000002</v>
      </c>
      <c r="E330" s="20">
        <f t="shared" ref="E330:N330" si="107">E331+E332+E333+E334</f>
        <v>0</v>
      </c>
      <c r="F330" s="20">
        <f t="shared" si="107"/>
        <v>63.7</v>
      </c>
      <c r="G330" s="20">
        <f t="shared" si="107"/>
        <v>0</v>
      </c>
      <c r="H330" s="20">
        <f t="shared" si="107"/>
        <v>30</v>
      </c>
      <c r="I330" s="20">
        <f t="shared" si="107"/>
        <v>0</v>
      </c>
      <c r="J330" s="20">
        <f t="shared" si="107"/>
        <v>91</v>
      </c>
      <c r="K330" s="20">
        <f t="shared" si="107"/>
        <v>0</v>
      </c>
      <c r="L330" s="20">
        <f>L331+L332+L333+L334</f>
        <v>0</v>
      </c>
      <c r="M330" s="20">
        <f>M331+M332+M333+M334</f>
        <v>101.9</v>
      </c>
      <c r="N330" s="20">
        <f t="shared" si="107"/>
        <v>0</v>
      </c>
      <c r="O330" s="15">
        <v>0</v>
      </c>
    </row>
    <row r="331" spans="1:15" ht="15.75" x14ac:dyDescent="0.2">
      <c r="A331" s="42"/>
      <c r="B331" s="50"/>
      <c r="C331" s="17" t="s">
        <v>1</v>
      </c>
      <c r="D331" s="20">
        <f t="shared" si="106"/>
        <v>0</v>
      </c>
      <c r="E331" s="20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20">
        <v>0</v>
      </c>
      <c r="M331" s="20">
        <v>0</v>
      </c>
      <c r="N331" s="20">
        <v>0</v>
      </c>
      <c r="O331" s="15">
        <v>0</v>
      </c>
    </row>
    <row r="332" spans="1:15" ht="15.75" x14ac:dyDescent="0.2">
      <c r="A332" s="42"/>
      <c r="B332" s="50"/>
      <c r="C332" s="17" t="s">
        <v>2</v>
      </c>
      <c r="D332" s="20">
        <f t="shared" si="106"/>
        <v>0</v>
      </c>
      <c r="E332" s="20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20">
        <v>0</v>
      </c>
      <c r="M332" s="20">
        <v>0</v>
      </c>
      <c r="N332" s="20">
        <v>0</v>
      </c>
      <c r="O332" s="15">
        <v>0</v>
      </c>
    </row>
    <row r="333" spans="1:15" ht="15.75" x14ac:dyDescent="0.2">
      <c r="A333" s="42"/>
      <c r="B333" s="50"/>
      <c r="C333" s="17" t="s">
        <v>3</v>
      </c>
      <c r="D333" s="20">
        <f t="shared" si="106"/>
        <v>286.60000000000002</v>
      </c>
      <c r="E333" s="20">
        <v>0</v>
      </c>
      <c r="F333" s="15">
        <v>63.7</v>
      </c>
      <c r="G333" s="15">
        <v>0</v>
      </c>
      <c r="H333" s="15">
        <v>30</v>
      </c>
      <c r="I333" s="15">
        <v>0</v>
      </c>
      <c r="J333" s="15">
        <v>91</v>
      </c>
      <c r="K333" s="15">
        <v>0</v>
      </c>
      <c r="L333" s="20">
        <v>0</v>
      </c>
      <c r="M333" s="20">
        <f>0+101.9</f>
        <v>101.9</v>
      </c>
      <c r="N333" s="20">
        <v>0</v>
      </c>
      <c r="O333" s="15">
        <v>0</v>
      </c>
    </row>
    <row r="334" spans="1:15" ht="19.5" customHeight="1" x14ac:dyDescent="0.2">
      <c r="A334" s="42"/>
      <c r="B334" s="50"/>
      <c r="C334" s="17" t="s">
        <v>4</v>
      </c>
      <c r="D334" s="20">
        <f t="shared" si="106"/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20">
        <v>0</v>
      </c>
      <c r="M334" s="20">
        <v>0</v>
      </c>
      <c r="N334" s="20">
        <v>0</v>
      </c>
      <c r="O334" s="15">
        <v>0</v>
      </c>
    </row>
    <row r="335" spans="1:15" ht="23.25" customHeight="1" x14ac:dyDescent="0.2">
      <c r="A335" s="42" t="s">
        <v>66</v>
      </c>
      <c r="B335" s="42" t="s">
        <v>68</v>
      </c>
      <c r="C335" s="17" t="s">
        <v>92</v>
      </c>
      <c r="D335" s="20">
        <f t="shared" si="106"/>
        <v>1690</v>
      </c>
      <c r="E335" s="20">
        <f>E336+E337+E338+E339</f>
        <v>0</v>
      </c>
      <c r="F335" s="20">
        <f>F336+F337+F338+F339</f>
        <v>0</v>
      </c>
      <c r="G335" s="20">
        <f>G336+G337+G338+G339</f>
        <v>1690</v>
      </c>
      <c r="H335" s="20">
        <f>H336+H337+H338+H339</f>
        <v>0</v>
      </c>
      <c r="I335" s="20">
        <f>I336+I337+I338+I339</f>
        <v>0</v>
      </c>
      <c r="J335" s="15">
        <v>0</v>
      </c>
      <c r="K335" s="15">
        <v>0</v>
      </c>
      <c r="L335" s="20">
        <f>L336+L337+L338+L339</f>
        <v>0</v>
      </c>
      <c r="M335" s="20">
        <f>M336+M337+M338+M339</f>
        <v>0</v>
      </c>
      <c r="N335" s="20">
        <f>N336+N337+N338+N339</f>
        <v>0</v>
      </c>
      <c r="O335" s="15">
        <v>0</v>
      </c>
    </row>
    <row r="336" spans="1:15" ht="15.75" x14ac:dyDescent="0.2">
      <c r="A336" s="42"/>
      <c r="B336" s="50"/>
      <c r="C336" s="17" t="s">
        <v>1</v>
      </c>
      <c r="D336" s="20">
        <f t="shared" si="106"/>
        <v>1600</v>
      </c>
      <c r="E336" s="20">
        <v>0</v>
      </c>
      <c r="F336" s="15">
        <v>0</v>
      </c>
      <c r="G336" s="15">
        <v>1600</v>
      </c>
      <c r="H336" s="15">
        <v>0</v>
      </c>
      <c r="I336" s="15">
        <v>0</v>
      </c>
      <c r="J336" s="15">
        <v>0</v>
      </c>
      <c r="K336" s="15">
        <v>0</v>
      </c>
      <c r="L336" s="20">
        <v>0</v>
      </c>
      <c r="M336" s="20">
        <v>0</v>
      </c>
      <c r="N336" s="20">
        <v>0</v>
      </c>
      <c r="O336" s="15">
        <v>0</v>
      </c>
    </row>
    <row r="337" spans="1:16" ht="15.75" x14ac:dyDescent="0.2">
      <c r="A337" s="42"/>
      <c r="B337" s="50"/>
      <c r="C337" s="17" t="s">
        <v>2</v>
      </c>
      <c r="D337" s="20">
        <f t="shared" si="106"/>
        <v>0</v>
      </c>
      <c r="E337" s="20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20">
        <v>0</v>
      </c>
      <c r="M337" s="20">
        <v>0</v>
      </c>
      <c r="N337" s="20">
        <v>0</v>
      </c>
      <c r="O337" s="15">
        <v>0</v>
      </c>
    </row>
    <row r="338" spans="1:16" ht="15.75" x14ac:dyDescent="0.2">
      <c r="A338" s="42"/>
      <c r="B338" s="50"/>
      <c r="C338" s="17" t="s">
        <v>3</v>
      </c>
      <c r="D338" s="20">
        <f t="shared" si="106"/>
        <v>90</v>
      </c>
      <c r="E338" s="20">
        <v>0</v>
      </c>
      <c r="F338" s="15">
        <v>0</v>
      </c>
      <c r="G338" s="15">
        <v>90</v>
      </c>
      <c r="H338" s="15">
        <v>0</v>
      </c>
      <c r="I338" s="15">
        <v>0</v>
      </c>
      <c r="J338" s="15">
        <v>0</v>
      </c>
      <c r="K338" s="15">
        <v>0</v>
      </c>
      <c r="L338" s="20">
        <v>0</v>
      </c>
      <c r="M338" s="20">
        <v>0</v>
      </c>
      <c r="N338" s="20">
        <v>0</v>
      </c>
      <c r="O338" s="15">
        <v>0</v>
      </c>
    </row>
    <row r="339" spans="1:16" ht="43.5" customHeight="1" x14ac:dyDescent="0.2">
      <c r="A339" s="42"/>
      <c r="B339" s="50"/>
      <c r="C339" s="17" t="s">
        <v>4</v>
      </c>
      <c r="D339" s="20">
        <f t="shared" si="106"/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20">
        <v>0</v>
      </c>
      <c r="M339" s="20">
        <v>0</v>
      </c>
      <c r="N339" s="20">
        <v>0</v>
      </c>
      <c r="O339" s="15">
        <v>0</v>
      </c>
    </row>
    <row r="340" spans="1:16" ht="15.75" x14ac:dyDescent="0.2">
      <c r="A340" s="42" t="s">
        <v>156</v>
      </c>
      <c r="B340" s="42" t="s">
        <v>137</v>
      </c>
      <c r="C340" s="17" t="s">
        <v>92</v>
      </c>
      <c r="D340" s="20">
        <f t="shared" ref="D340:D349" si="108">E340+F340+G340+H340+I340+J340+K340+L340+M340+N340+O340</f>
        <v>276114.30000000005</v>
      </c>
      <c r="E340" s="20">
        <f>E341+E342+E343+E344</f>
        <v>0</v>
      </c>
      <c r="F340" s="20">
        <f t="shared" ref="F340:O340" si="109">F341+F342+F343+F344</f>
        <v>0</v>
      </c>
      <c r="G340" s="20">
        <f t="shared" si="109"/>
        <v>0</v>
      </c>
      <c r="H340" s="20">
        <f t="shared" si="109"/>
        <v>0</v>
      </c>
      <c r="I340" s="20">
        <f t="shared" si="109"/>
        <v>0</v>
      </c>
      <c r="J340" s="20">
        <f t="shared" si="109"/>
        <v>18127.400000000001</v>
      </c>
      <c r="K340" s="20">
        <f>K341+K342+K343+K344</f>
        <v>32627.8</v>
      </c>
      <c r="L340" s="20">
        <f>L341+L342+L343+L344</f>
        <v>101683.5</v>
      </c>
      <c r="M340" s="20">
        <f>M341+M342+M343+M344</f>
        <v>74351.100000000006</v>
      </c>
      <c r="N340" s="20">
        <f t="shared" si="109"/>
        <v>49324.5</v>
      </c>
      <c r="O340" s="20">
        <f t="shared" si="109"/>
        <v>0</v>
      </c>
    </row>
    <row r="341" spans="1:16" ht="15.75" x14ac:dyDescent="0.2">
      <c r="A341" s="42"/>
      <c r="B341" s="50"/>
      <c r="C341" s="17" t="s">
        <v>1</v>
      </c>
      <c r="D341" s="20">
        <f t="shared" si="108"/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</row>
    <row r="342" spans="1:16" ht="15.75" x14ac:dyDescent="0.2">
      <c r="A342" s="42"/>
      <c r="B342" s="50"/>
      <c r="C342" s="17" t="s">
        <v>2</v>
      </c>
      <c r="D342" s="20">
        <f t="shared" si="108"/>
        <v>230687.7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12354.5</v>
      </c>
      <c r="K342" s="20">
        <v>24551.200000000001</v>
      </c>
      <c r="L342" s="20">
        <f>31162+46365</f>
        <v>77527</v>
      </c>
      <c r="M342" s="15">
        <f>23525+46365</f>
        <v>69890</v>
      </c>
      <c r="N342" s="15">
        <f>46365</f>
        <v>46365</v>
      </c>
      <c r="O342" s="15">
        <v>0</v>
      </c>
      <c r="P342" s="11"/>
    </row>
    <row r="343" spans="1:16" ht="15.75" x14ac:dyDescent="0.2">
      <c r="A343" s="42"/>
      <c r="B343" s="50"/>
      <c r="C343" s="17" t="s">
        <v>3</v>
      </c>
      <c r="D343" s="20">
        <f t="shared" si="108"/>
        <v>45426.6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f>5772.9</f>
        <v>5772.9</v>
      </c>
      <c r="K343" s="20">
        <f>10804.7-180.7-2547.3-0.1</f>
        <v>8076.5999999999995</v>
      </c>
      <c r="L343" s="20">
        <f>2127.8-138.7+20998.4-0.1+1561+1600-1986.9-5</f>
        <v>24156.5</v>
      </c>
      <c r="M343" s="20">
        <f>1501.6+2959.4+0.1</f>
        <v>4461.1000000000004</v>
      </c>
      <c r="N343" s="20">
        <f>2959.5</f>
        <v>2959.5</v>
      </c>
      <c r="O343" s="20">
        <v>0</v>
      </c>
    </row>
    <row r="344" spans="1:16" ht="18" customHeight="1" x14ac:dyDescent="0.2">
      <c r="A344" s="42"/>
      <c r="B344" s="50"/>
      <c r="C344" s="17" t="s">
        <v>4</v>
      </c>
      <c r="D344" s="20">
        <f t="shared" si="108"/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</row>
    <row r="345" spans="1:16" ht="15.75" x14ac:dyDescent="0.2">
      <c r="A345" s="42" t="s">
        <v>117</v>
      </c>
      <c r="B345" s="42" t="s">
        <v>121</v>
      </c>
      <c r="C345" s="17" t="s">
        <v>92</v>
      </c>
      <c r="D345" s="20">
        <f t="shared" si="108"/>
        <v>10217.400000000001</v>
      </c>
      <c r="E345" s="20">
        <f t="shared" ref="E345:O345" si="110">E346+E347+E348+E349</f>
        <v>0</v>
      </c>
      <c r="F345" s="20">
        <f t="shared" si="110"/>
        <v>0</v>
      </c>
      <c r="G345" s="20">
        <f t="shared" si="110"/>
        <v>0</v>
      </c>
      <c r="H345" s="20">
        <f t="shared" si="110"/>
        <v>0</v>
      </c>
      <c r="I345" s="20">
        <f t="shared" si="110"/>
        <v>0</v>
      </c>
      <c r="J345" s="20">
        <f t="shared" si="110"/>
        <v>0</v>
      </c>
      <c r="K345" s="20">
        <f t="shared" si="110"/>
        <v>10217.400000000001</v>
      </c>
      <c r="L345" s="20">
        <f t="shared" si="110"/>
        <v>0</v>
      </c>
      <c r="M345" s="20">
        <f t="shared" si="110"/>
        <v>0</v>
      </c>
      <c r="N345" s="20">
        <f t="shared" si="110"/>
        <v>0</v>
      </c>
      <c r="O345" s="20">
        <f t="shared" si="110"/>
        <v>0</v>
      </c>
    </row>
    <row r="346" spans="1:16" ht="15.75" x14ac:dyDescent="0.2">
      <c r="A346" s="42"/>
      <c r="B346" s="50"/>
      <c r="C346" s="17" t="s">
        <v>1</v>
      </c>
      <c r="D346" s="20">
        <f t="shared" si="108"/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</row>
    <row r="347" spans="1:16" ht="15.75" x14ac:dyDescent="0.2">
      <c r="A347" s="42"/>
      <c r="B347" s="50"/>
      <c r="C347" s="17" t="s">
        <v>2</v>
      </c>
      <c r="D347" s="20">
        <f t="shared" si="108"/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20">
        <v>0</v>
      </c>
      <c r="L347" s="20">
        <v>0</v>
      </c>
      <c r="M347" s="15">
        <v>0</v>
      </c>
      <c r="N347" s="15">
        <v>0</v>
      </c>
      <c r="O347" s="15">
        <v>0</v>
      </c>
    </row>
    <row r="348" spans="1:16" ht="15.75" x14ac:dyDescent="0.2">
      <c r="A348" s="42"/>
      <c r="B348" s="50"/>
      <c r="C348" s="17" t="s">
        <v>3</v>
      </c>
      <c r="D348" s="20">
        <f t="shared" si="108"/>
        <v>10217.400000000001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f>11041.7-824.3</f>
        <v>10217.400000000001</v>
      </c>
      <c r="L348" s="20">
        <v>0</v>
      </c>
      <c r="M348" s="20">
        <v>0</v>
      </c>
      <c r="N348" s="20">
        <v>0</v>
      </c>
      <c r="O348" s="20">
        <v>0</v>
      </c>
    </row>
    <row r="349" spans="1:16" ht="27.75" customHeight="1" x14ac:dyDescent="0.2">
      <c r="A349" s="42"/>
      <c r="B349" s="50"/>
      <c r="C349" s="17" t="s">
        <v>4</v>
      </c>
      <c r="D349" s="20">
        <f t="shared" si="108"/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</row>
    <row r="350" spans="1:16" ht="15.75" x14ac:dyDescent="0.2">
      <c r="A350" s="42" t="s">
        <v>131</v>
      </c>
      <c r="B350" s="42" t="s">
        <v>132</v>
      </c>
      <c r="C350" s="17" t="s">
        <v>92</v>
      </c>
      <c r="D350" s="20">
        <f t="shared" ref="D350:D354" si="111">E350+F350+G350+H350+I350+J350+K350+L350+M350+N350+O350</f>
        <v>0.4</v>
      </c>
      <c r="E350" s="20">
        <f t="shared" ref="E350:O350" si="112">E351+E352+E353+E354</f>
        <v>0</v>
      </c>
      <c r="F350" s="20">
        <f t="shared" si="112"/>
        <v>0</v>
      </c>
      <c r="G350" s="20">
        <f t="shared" si="112"/>
        <v>0</v>
      </c>
      <c r="H350" s="20">
        <f t="shared" si="112"/>
        <v>0</v>
      </c>
      <c r="I350" s="20">
        <f t="shared" si="112"/>
        <v>0</v>
      </c>
      <c r="J350" s="20">
        <f t="shared" si="112"/>
        <v>0</v>
      </c>
      <c r="K350" s="20">
        <f t="shared" si="112"/>
        <v>0</v>
      </c>
      <c r="L350" s="20">
        <f t="shared" si="112"/>
        <v>0.1</v>
      </c>
      <c r="M350" s="20">
        <f t="shared" si="112"/>
        <v>0.1</v>
      </c>
      <c r="N350" s="20">
        <f t="shared" si="112"/>
        <v>0.1</v>
      </c>
      <c r="O350" s="20">
        <f t="shared" si="112"/>
        <v>0.1</v>
      </c>
    </row>
    <row r="351" spans="1:16" ht="15.75" x14ac:dyDescent="0.2">
      <c r="A351" s="42"/>
      <c r="B351" s="50"/>
      <c r="C351" s="17" t="s">
        <v>1</v>
      </c>
      <c r="D351" s="20">
        <f t="shared" si="111"/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</row>
    <row r="352" spans="1:16" ht="15.75" x14ac:dyDescent="0.2">
      <c r="A352" s="42"/>
      <c r="B352" s="50"/>
      <c r="C352" s="17" t="s">
        <v>2</v>
      </c>
      <c r="D352" s="20">
        <f t="shared" si="111"/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20">
        <v>0</v>
      </c>
      <c r="L352" s="20">
        <v>0</v>
      </c>
      <c r="M352" s="15">
        <v>0</v>
      </c>
      <c r="N352" s="15">
        <v>0</v>
      </c>
      <c r="O352" s="15">
        <v>0</v>
      </c>
    </row>
    <row r="353" spans="1:15" ht="15.75" x14ac:dyDescent="0.2">
      <c r="A353" s="42"/>
      <c r="B353" s="50"/>
      <c r="C353" s="17" t="s">
        <v>3</v>
      </c>
      <c r="D353" s="20">
        <f t="shared" si="111"/>
        <v>0.4</v>
      </c>
      <c r="E353" s="20">
        <v>0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>
        <v>0.1</v>
      </c>
      <c r="M353" s="20">
        <v>0.1</v>
      </c>
      <c r="N353" s="20">
        <v>0.1</v>
      </c>
      <c r="O353" s="20">
        <v>0.1</v>
      </c>
    </row>
    <row r="354" spans="1:15" ht="27.75" customHeight="1" x14ac:dyDescent="0.2">
      <c r="A354" s="42"/>
      <c r="B354" s="50"/>
      <c r="C354" s="17" t="s">
        <v>4</v>
      </c>
      <c r="D354" s="20">
        <f t="shared" si="111"/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</row>
    <row r="355" spans="1:15" ht="27.75" customHeight="1" x14ac:dyDescent="0.2">
      <c r="A355" s="42" t="s">
        <v>135</v>
      </c>
      <c r="B355" s="42" t="s">
        <v>136</v>
      </c>
      <c r="C355" s="17" t="s">
        <v>92</v>
      </c>
      <c r="D355" s="20">
        <f t="shared" ref="D355:D359" si="113">E355+F355+G355+H355+I355+J355+K355+L355+M355+N355+O355</f>
        <v>78454.600000000006</v>
      </c>
      <c r="E355" s="20">
        <f t="shared" ref="E355:O355" si="114">E356+E357+E358+E359</f>
        <v>0</v>
      </c>
      <c r="F355" s="20">
        <f t="shared" si="114"/>
        <v>0</v>
      </c>
      <c r="G355" s="20">
        <f t="shared" si="114"/>
        <v>0</v>
      </c>
      <c r="H355" s="20">
        <f t="shared" si="114"/>
        <v>0</v>
      </c>
      <c r="I355" s="20">
        <f t="shared" si="114"/>
        <v>0</v>
      </c>
      <c r="J355" s="20">
        <f t="shared" si="114"/>
        <v>0</v>
      </c>
      <c r="K355" s="20">
        <f t="shared" si="114"/>
        <v>0</v>
      </c>
      <c r="L355" s="20">
        <f t="shared" si="114"/>
        <v>78454.600000000006</v>
      </c>
      <c r="M355" s="20">
        <f t="shared" si="114"/>
        <v>0</v>
      </c>
      <c r="N355" s="20">
        <f t="shared" si="114"/>
        <v>0</v>
      </c>
      <c r="O355" s="20">
        <f t="shared" si="114"/>
        <v>0</v>
      </c>
    </row>
    <row r="356" spans="1:15" ht="27.75" customHeight="1" x14ac:dyDescent="0.2">
      <c r="A356" s="42"/>
      <c r="B356" s="50"/>
      <c r="C356" s="17" t="s">
        <v>1</v>
      </c>
      <c r="D356" s="20">
        <f t="shared" si="113"/>
        <v>77500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77500</v>
      </c>
      <c r="M356" s="15">
        <v>0</v>
      </c>
      <c r="N356" s="15">
        <v>0</v>
      </c>
      <c r="O356" s="15">
        <v>0</v>
      </c>
    </row>
    <row r="357" spans="1:15" ht="27.75" customHeight="1" x14ac:dyDescent="0.2">
      <c r="A357" s="42"/>
      <c r="B357" s="50"/>
      <c r="C357" s="17" t="s">
        <v>2</v>
      </c>
      <c r="D357" s="20">
        <f t="shared" si="113"/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20">
        <v>0</v>
      </c>
      <c r="L357" s="20">
        <v>0</v>
      </c>
      <c r="M357" s="15">
        <v>0</v>
      </c>
      <c r="N357" s="15">
        <v>0</v>
      </c>
      <c r="O357" s="15">
        <v>0</v>
      </c>
    </row>
    <row r="358" spans="1:15" ht="27.75" customHeight="1" x14ac:dyDescent="0.2">
      <c r="A358" s="42"/>
      <c r="B358" s="50"/>
      <c r="C358" s="17" t="s">
        <v>3</v>
      </c>
      <c r="D358" s="20">
        <f t="shared" si="113"/>
        <v>954.6</v>
      </c>
      <c r="E358" s="20">
        <v>0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20">
        <v>954.6</v>
      </c>
      <c r="M358" s="20">
        <v>0</v>
      </c>
      <c r="N358" s="20">
        <v>0</v>
      </c>
      <c r="O358" s="20">
        <v>0</v>
      </c>
    </row>
    <row r="359" spans="1:15" ht="27.75" customHeight="1" x14ac:dyDescent="0.2">
      <c r="A359" s="42"/>
      <c r="B359" s="50"/>
      <c r="C359" s="17" t="s">
        <v>4</v>
      </c>
      <c r="D359" s="20">
        <f t="shared" si="113"/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</row>
    <row r="360" spans="1:15" ht="27.75" customHeight="1" x14ac:dyDescent="0.2">
      <c r="A360" s="44" t="s">
        <v>147</v>
      </c>
      <c r="B360" s="47" t="s">
        <v>145</v>
      </c>
      <c r="C360" s="17" t="s">
        <v>92</v>
      </c>
      <c r="D360" s="20">
        <f>E360+F360+G360+H360+I360+J360+K360+L360+M360+N360+O360</f>
        <v>143914.6</v>
      </c>
      <c r="E360" s="15">
        <f>E361+E362+E363+E364</f>
        <v>0</v>
      </c>
      <c r="F360" s="15">
        <f t="shared" ref="F360:O360" si="115">F361+F362+F363+F364</f>
        <v>0</v>
      </c>
      <c r="G360" s="15">
        <f t="shared" si="115"/>
        <v>0</v>
      </c>
      <c r="H360" s="15">
        <f t="shared" si="115"/>
        <v>0</v>
      </c>
      <c r="I360" s="15">
        <f t="shared" si="115"/>
        <v>0</v>
      </c>
      <c r="J360" s="15">
        <f t="shared" si="115"/>
        <v>0</v>
      </c>
      <c r="K360" s="15">
        <f t="shared" si="115"/>
        <v>0</v>
      </c>
      <c r="L360" s="15">
        <f t="shared" si="115"/>
        <v>0</v>
      </c>
      <c r="M360" s="15">
        <f t="shared" si="115"/>
        <v>143914.6</v>
      </c>
      <c r="N360" s="15">
        <f t="shared" si="115"/>
        <v>0</v>
      </c>
      <c r="O360" s="15">
        <f t="shared" si="115"/>
        <v>0</v>
      </c>
    </row>
    <row r="361" spans="1:15" ht="27.75" customHeight="1" x14ac:dyDescent="0.2">
      <c r="A361" s="45"/>
      <c r="B361" s="48"/>
      <c r="C361" s="17" t="s">
        <v>1</v>
      </c>
      <c r="D361" s="20">
        <f t="shared" ref="D361:D364" si="116">E361+F361+G361+H361+I361+J361+K361+L361+M361+N361+O361</f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</row>
    <row r="362" spans="1:15" ht="27.75" customHeight="1" x14ac:dyDescent="0.2">
      <c r="A362" s="45"/>
      <c r="B362" s="48"/>
      <c r="C362" s="17" t="s">
        <v>2</v>
      </c>
      <c r="D362" s="20">
        <f t="shared" si="116"/>
        <v>143914.6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143914.6</v>
      </c>
      <c r="N362" s="15">
        <v>0</v>
      </c>
      <c r="O362" s="15">
        <v>0</v>
      </c>
    </row>
    <row r="363" spans="1:15" ht="27.75" customHeight="1" x14ac:dyDescent="0.2">
      <c r="A363" s="45"/>
      <c r="B363" s="48"/>
      <c r="C363" s="17" t="s">
        <v>3</v>
      </c>
      <c r="D363" s="20">
        <f t="shared" si="116"/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</row>
    <row r="364" spans="1:15" ht="27.75" customHeight="1" x14ac:dyDescent="0.2">
      <c r="A364" s="46"/>
      <c r="B364" s="49"/>
      <c r="C364" s="17" t="s">
        <v>4</v>
      </c>
      <c r="D364" s="20">
        <f t="shared" si="116"/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</row>
    <row r="365" spans="1:15" ht="27.75" customHeight="1" x14ac:dyDescent="0.2">
      <c r="A365" s="33"/>
      <c r="B365" s="34"/>
      <c r="C365" s="35"/>
      <c r="D365" s="36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</row>
    <row r="366" spans="1:15" ht="51.75" customHeight="1" x14ac:dyDescent="0.2">
      <c r="A366" s="66" t="s">
        <v>94</v>
      </c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  <c r="M366" s="66"/>
      <c r="N366" s="66"/>
      <c r="O366" s="66"/>
    </row>
    <row r="367" spans="1:15" ht="27" customHeight="1" x14ac:dyDescent="0.2"/>
    <row r="368" spans="1:15" x14ac:dyDescent="0.2">
      <c r="M368" s="11"/>
    </row>
    <row r="369" spans="13:13" x14ac:dyDescent="0.2">
      <c r="M369" s="11"/>
    </row>
    <row r="370" spans="13:13" x14ac:dyDescent="0.2">
      <c r="M370" s="11"/>
    </row>
    <row r="371" spans="13:13" x14ac:dyDescent="0.2">
      <c r="M371" s="11"/>
    </row>
  </sheetData>
  <mergeCells count="137">
    <mergeCell ref="A114:A119"/>
    <mergeCell ref="A248:A252"/>
    <mergeCell ref="B248:B252"/>
    <mergeCell ref="A280:A284"/>
    <mergeCell ref="B280:B284"/>
    <mergeCell ref="B253:B257"/>
    <mergeCell ref="A253:A257"/>
    <mergeCell ref="A208:A212"/>
    <mergeCell ref="A243:A247"/>
    <mergeCell ref="B243:B247"/>
    <mergeCell ref="B120:B126"/>
    <mergeCell ref="B188:B192"/>
    <mergeCell ref="A173:A177"/>
    <mergeCell ref="A178:A182"/>
    <mergeCell ref="B203:B207"/>
    <mergeCell ref="B290:B294"/>
    <mergeCell ref="A213:A217"/>
    <mergeCell ref="B305:B309"/>
    <mergeCell ref="A198:A202"/>
    <mergeCell ref="A295:A299"/>
    <mergeCell ref="B295:B299"/>
    <mergeCell ref="A258:A264"/>
    <mergeCell ref="B149:B153"/>
    <mergeCell ref="A203:A207"/>
    <mergeCell ref="A366:O366"/>
    <mergeCell ref="A335:A339"/>
    <mergeCell ref="B335:B339"/>
    <mergeCell ref="A330:A334"/>
    <mergeCell ref="B330:B334"/>
    <mergeCell ref="A193:A197"/>
    <mergeCell ref="B193:B197"/>
    <mergeCell ref="A285:A289"/>
    <mergeCell ref="B265:B269"/>
    <mergeCell ref="A305:A309"/>
    <mergeCell ref="B285:B289"/>
    <mergeCell ref="A265:A269"/>
    <mergeCell ref="B198:B202"/>
    <mergeCell ref="A270:A274"/>
    <mergeCell ref="B270:B274"/>
    <mergeCell ref="A218:A222"/>
    <mergeCell ref="A233:A237"/>
    <mergeCell ref="A310:A314"/>
    <mergeCell ref="A340:A344"/>
    <mergeCell ref="B340:B344"/>
    <mergeCell ref="B315:B319"/>
    <mergeCell ref="A320:A324"/>
    <mergeCell ref="A315:A319"/>
    <mergeCell ref="A325:A329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D6:O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188:A192"/>
    <mergeCell ref="B218:B222"/>
    <mergeCell ref="A223:A227"/>
    <mergeCell ref="B213:B217"/>
    <mergeCell ref="B320:B324"/>
    <mergeCell ref="B310:B314"/>
    <mergeCell ref="A120:A126"/>
    <mergeCell ref="B108:B113"/>
    <mergeCell ref="A139:A143"/>
    <mergeCell ref="B114:B119"/>
    <mergeCell ref="A360:A364"/>
    <mergeCell ref="B360:B364"/>
    <mergeCell ref="A355:A359"/>
    <mergeCell ref="B355:B359"/>
    <mergeCell ref="B325:B329"/>
    <mergeCell ref="A350:A354"/>
    <mergeCell ref="B350:B354"/>
    <mergeCell ref="B258:B264"/>
    <mergeCell ref="A290:A294"/>
    <mergeCell ref="A345:A349"/>
    <mergeCell ref="B345:B349"/>
    <mergeCell ref="A275:A279"/>
    <mergeCell ref="B275:B279"/>
    <mergeCell ref="B168:B172"/>
    <mergeCell ref="B223:B227"/>
    <mergeCell ref="A300:A304"/>
    <mergeCell ref="B300:B304"/>
    <mergeCell ref="A160:A167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6" fitToHeight="0" orientation="landscape" r:id="rId1"/>
  <headerFooter alignWithMargins="0"/>
  <rowBreaks count="1" manualBreakCount="1">
    <brk id="3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2023-09-27T07:00:00Z</cp:lastPrinted>
  <dcterms:created xsi:type="dcterms:W3CDTF">1996-10-08T23:32:33Z</dcterms:created>
  <dcterms:modified xsi:type="dcterms:W3CDTF">2023-09-27T07:00:14Z</dcterms:modified>
</cp:coreProperties>
</file>