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140" windowHeight="101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Лист1!$9:$11</definedName>
    <definedName name="_xlnm.Print_Area" localSheetId="0">Лист1!$A$1:$AL$51</definedName>
  </definedNames>
  <calcPr calcId="145621"/>
</workbook>
</file>

<file path=xl/calcChain.xml><?xml version="1.0" encoding="utf-8"?>
<calcChain xmlns="http://schemas.openxmlformats.org/spreadsheetml/2006/main">
  <c r="AI22" i="1" l="1"/>
  <c r="AI59" i="1"/>
  <c r="AI65" i="1"/>
  <c r="K16" i="1" l="1"/>
  <c r="AL19" i="1" l="1"/>
  <c r="AK19" i="1"/>
  <c r="AL17" i="1"/>
  <c r="AK16" i="1"/>
  <c r="AK15" i="1"/>
  <c r="AK52" i="1"/>
  <c r="AK53" i="1"/>
  <c r="AK56" i="1"/>
  <c r="AK57" i="1" s="1"/>
  <c r="AK61" i="1" s="1"/>
  <c r="AK22" i="1"/>
  <c r="AK21" i="1"/>
  <c r="AL21" i="1"/>
  <c r="AK17" i="1"/>
  <c r="AJ17" i="1"/>
  <c r="AJ16" i="1"/>
  <c r="AL59" i="1"/>
  <c r="AK59" i="1"/>
  <c r="AJ59" i="1"/>
  <c r="AL30" i="1"/>
  <c r="AL29" i="1"/>
  <c r="AK30" i="1"/>
  <c r="AK29" i="1"/>
  <c r="AJ30" i="1"/>
  <c r="AJ65" i="1"/>
  <c r="AJ69" i="1"/>
  <c r="AK65" i="1"/>
  <c r="AK69" i="1"/>
  <c r="AL65" i="1"/>
  <c r="AL69" i="1"/>
  <c r="AL54" i="1"/>
  <c r="AK54" i="1"/>
  <c r="AJ54" i="1"/>
  <c r="AL24" i="1"/>
  <c r="AK24" i="1"/>
  <c r="AJ24" i="1"/>
  <c r="AL22" i="1"/>
  <c r="AJ22" i="1"/>
  <c r="AL16" i="1"/>
  <c r="AI54" i="1"/>
  <c r="AU62" i="1"/>
  <c r="AU61" i="1"/>
  <c r="AU60" i="1"/>
  <c r="AI52" i="1"/>
  <c r="AL53" i="1"/>
  <c r="AL56" i="1"/>
  <c r="AL57" i="1" s="1"/>
  <c r="AL61" i="1" s="1"/>
  <c r="AL52" i="1"/>
  <c r="N54" i="1"/>
  <c r="N53" i="1"/>
  <c r="L16" i="1"/>
  <c r="AH21" i="1"/>
  <c r="AH22" i="1"/>
  <c r="AH19" i="1"/>
  <c r="AH17" i="1"/>
  <c r="AH16" i="1"/>
  <c r="AH29" i="1"/>
  <c r="AH30" i="1"/>
  <c r="AH59" i="1"/>
  <c r="AI69" i="1"/>
  <c r="J22" i="1"/>
  <c r="AJ52" i="1"/>
  <c r="AH52" i="1"/>
  <c r="AH54" i="1"/>
  <c r="AH65" i="1"/>
  <c r="AH69" i="1"/>
  <c r="AG30" i="1"/>
  <c r="AG29" i="1"/>
  <c r="AG59" i="1"/>
  <c r="AG22" i="1"/>
  <c r="AG19" i="1"/>
  <c r="AG15" i="1"/>
  <c r="AG23" i="1"/>
  <c r="AG65" i="1"/>
  <c r="AG21" i="1"/>
  <c r="AG17" i="1"/>
  <c r="AF22" i="1"/>
  <c r="AF23" i="1"/>
  <c r="C59" i="1"/>
  <c r="AG52" i="1"/>
  <c r="AG81" i="1"/>
  <c r="H15" i="1"/>
  <c r="AI20" i="1"/>
  <c r="AJ20" i="1"/>
  <c r="AK20" i="1"/>
  <c r="AI18" i="1"/>
  <c r="AJ18" i="1"/>
  <c r="AK18" i="1"/>
  <c r="AE21" i="1"/>
  <c r="AE19" i="1"/>
  <c r="AE17" i="1"/>
  <c r="M16" i="1"/>
  <c r="G16" i="1"/>
  <c r="AJ53" i="1"/>
  <c r="AJ56" i="1"/>
  <c r="AJ57" i="1"/>
  <c r="AJ61" i="1" s="1"/>
  <c r="AI53" i="1"/>
  <c r="AH53" i="1"/>
  <c r="M53" i="1"/>
  <c r="L53" i="1"/>
  <c r="K53" i="1"/>
  <c r="J53" i="1"/>
  <c r="I53" i="1"/>
  <c r="AH56" i="1"/>
  <c r="AH57" i="1"/>
  <c r="AH61" i="1" s="1"/>
  <c r="I16" i="1"/>
  <c r="J16" i="1"/>
  <c r="H16" i="1"/>
  <c r="AE22" i="1"/>
  <c r="AE23" i="1"/>
  <c r="AG18" i="1"/>
  <c r="AG20" i="1"/>
  <c r="AG54" i="1"/>
  <c r="AF52" i="1"/>
  <c r="AF53" i="1"/>
  <c r="H23" i="1"/>
  <c r="J23" i="1"/>
  <c r="M23" i="1"/>
  <c r="H22" i="1"/>
  <c r="AG53" i="1"/>
  <c r="AG56" i="1"/>
  <c r="AG57" i="1" s="1"/>
  <c r="AG61" i="1" s="1"/>
  <c r="AF81" i="1"/>
  <c r="J54" i="1"/>
  <c r="I54" i="1"/>
  <c r="AD54" i="1"/>
  <c r="AQ60" i="1"/>
  <c r="AQ63" i="1" s="1"/>
  <c r="AQ62" i="1"/>
  <c r="AQ61" i="1"/>
  <c r="K54" i="1"/>
  <c r="AD52" i="1"/>
  <c r="AD65" i="1"/>
  <c r="AD68" i="1"/>
  <c r="AF65" i="1"/>
  <c r="AF69" i="1"/>
  <c r="AE65" i="1"/>
  <c r="AE69" i="1"/>
  <c r="U30" i="1"/>
  <c r="L54" i="1"/>
  <c r="M22" i="1"/>
  <c r="M54" i="1"/>
  <c r="AD69" i="1"/>
  <c r="Q29" i="1"/>
  <c r="Q23" i="1"/>
  <c r="Q22" i="1"/>
  <c r="Q21" i="1"/>
  <c r="Q19" i="1"/>
  <c r="Q17" i="1"/>
  <c r="Q16" i="1"/>
  <c r="F15" i="1"/>
  <c r="P59" i="1"/>
  <c r="P23" i="1"/>
  <c r="P22" i="1"/>
  <c r="P16" i="1"/>
  <c r="P64" i="1"/>
  <c r="P29" i="1"/>
  <c r="V30" i="1"/>
  <c r="R22" i="1"/>
  <c r="AE53" i="1"/>
  <c r="U15" i="1"/>
  <c r="W52" i="1"/>
  <c r="O54" i="1"/>
  <c r="O53" i="1"/>
  <c r="T52" i="1"/>
  <c r="X52" i="1"/>
  <c r="Z52" i="1"/>
  <c r="AA52" i="1"/>
  <c r="AB52" i="1"/>
  <c r="AC52" i="1"/>
  <c r="S54" i="1"/>
  <c r="Y54" i="1"/>
  <c r="Q53" i="1"/>
  <c r="AB53" i="1"/>
  <c r="AC53" i="1"/>
  <c r="AD53" i="1"/>
  <c r="AD56" i="1"/>
  <c r="AD57" i="1"/>
  <c r="E54" i="1"/>
  <c r="F54" i="1"/>
  <c r="G54" i="1"/>
  <c r="H54" i="1"/>
  <c r="H53" i="1"/>
  <c r="G53" i="1"/>
  <c r="F53" i="1"/>
  <c r="E53" i="1"/>
  <c r="O56" i="1"/>
  <c r="O57" i="1" s="1"/>
  <c r="U29" i="1"/>
  <c r="AA19" i="1"/>
  <c r="AA53" i="1"/>
  <c r="P15" i="1"/>
  <c r="R15" i="1"/>
  <c r="V15" i="1"/>
  <c r="Y15" i="1"/>
  <c r="W10" i="1"/>
  <c r="P52" i="1"/>
  <c r="V11" i="1"/>
  <c r="U11" i="1"/>
  <c r="R52" i="1"/>
  <c r="Z10" i="1"/>
  <c r="V52" i="1"/>
  <c r="P66" i="1"/>
  <c r="Q52" i="1"/>
  <c r="U52" i="1"/>
  <c r="O52" i="1"/>
  <c r="X21" i="1"/>
  <c r="D53" i="1"/>
  <c r="D23" i="1"/>
  <c r="D22" i="1"/>
  <c r="D15" i="1"/>
  <c r="P54" i="1"/>
  <c r="U22" i="1"/>
  <c r="D54" i="1"/>
  <c r="AE52" i="1"/>
  <c r="U23" i="1"/>
  <c r="R54" i="1"/>
  <c r="Y52" i="1"/>
  <c r="U21" i="1"/>
  <c r="U19" i="1"/>
  <c r="X19" i="1"/>
  <c r="AE81" i="1"/>
  <c r="AA23" i="1"/>
  <c r="U54" i="1"/>
  <c r="U17" i="1"/>
  <c r="V19" i="1"/>
  <c r="Y19" i="1"/>
  <c r="Y53" i="1"/>
  <c r="Y56" i="1"/>
  <c r="Y57" i="1"/>
  <c r="Z23" i="1"/>
  <c r="D16" i="1"/>
  <c r="Z54" i="1"/>
  <c r="W19" i="1"/>
  <c r="W53" i="1"/>
  <c r="U53" i="1"/>
  <c r="U56" i="1"/>
  <c r="U57" i="1"/>
  <c r="AA54" i="1"/>
  <c r="AA56" i="1"/>
  <c r="AA57" i="1" s="1"/>
  <c r="AB23" i="1"/>
  <c r="AB54" i="1"/>
  <c r="AB56" i="1"/>
  <c r="AB57" i="1" s="1"/>
  <c r="X17" i="1"/>
  <c r="P34" i="1"/>
  <c r="Q34" i="1"/>
  <c r="P35" i="1"/>
  <c r="Q35" i="1"/>
  <c r="X35" i="1"/>
  <c r="P36" i="1"/>
  <c r="Q36" i="1"/>
  <c r="O37" i="1"/>
  <c r="AC22" i="1"/>
  <c r="AC54" i="1"/>
  <c r="AC56" i="1"/>
  <c r="AC57" i="1"/>
  <c r="Z21" i="1"/>
  <c r="Z53" i="1"/>
  <c r="Z56" i="1"/>
  <c r="Z57" i="1"/>
  <c r="X53" i="1"/>
  <c r="Q54" i="1"/>
  <c r="V37" i="1"/>
  <c r="W37" i="1"/>
  <c r="U39" i="1"/>
  <c r="Q56" i="1"/>
  <c r="Q57" i="1" s="1"/>
  <c r="AF54" i="1"/>
  <c r="AF56" i="1"/>
  <c r="AF57" i="1" s="1"/>
  <c r="AF61" i="1" s="1"/>
  <c r="AE54" i="1"/>
  <c r="AE56" i="1"/>
  <c r="AE62" i="1" s="1"/>
  <c r="AD62" i="1"/>
  <c r="O34" i="1"/>
  <c r="O35" i="1"/>
  <c r="O36" i="1"/>
  <c r="AA44" i="1"/>
  <c r="O14" i="1"/>
  <c r="AF62" i="1"/>
  <c r="U37" i="1"/>
  <c r="U36" i="1"/>
  <c r="X36" i="1"/>
  <c r="O44" i="1"/>
  <c r="U34" i="1"/>
  <c r="U35" i="1"/>
  <c r="AA43" i="1"/>
  <c r="AA39" i="1"/>
  <c r="O41" i="1"/>
  <c r="Q14" i="1"/>
  <c r="Y44" i="1"/>
  <c r="Q38" i="1"/>
  <c r="W44" i="1"/>
  <c r="W40" i="1"/>
  <c r="W41" i="1"/>
  <c r="V40" i="1"/>
  <c r="V41" i="1"/>
  <c r="U40" i="1"/>
  <c r="U41" i="1"/>
  <c r="U43" i="1"/>
  <c r="V22" i="1"/>
  <c r="S17" i="1"/>
  <c r="O38" i="1"/>
  <c r="U44" i="1"/>
  <c r="W22" i="1"/>
  <c r="W54" i="1"/>
  <c r="W56" i="1"/>
  <c r="W57" i="1" s="1"/>
  <c r="S19" i="1"/>
  <c r="P19" i="1"/>
  <c r="P17" i="1"/>
  <c r="S21" i="1"/>
  <c r="P21" i="1"/>
  <c r="S16" i="1"/>
  <c r="S52" i="1"/>
  <c r="R17" i="1"/>
  <c r="P53" i="1"/>
  <c r="P56" i="1"/>
  <c r="P60" i="1" s="1"/>
  <c r="V21" i="1"/>
  <c r="T17" i="1"/>
  <c r="S53" i="1"/>
  <c r="S56" i="1"/>
  <c r="S57" i="1" s="1"/>
  <c r="T19" i="1"/>
  <c r="T21" i="1"/>
  <c r="P57" i="1"/>
  <c r="T22" i="1"/>
  <c r="T54" i="1"/>
  <c r="T53" i="1"/>
  <c r="R53" i="1"/>
  <c r="R56" i="1"/>
  <c r="R57" i="1"/>
  <c r="V23" i="1"/>
  <c r="X23" i="1"/>
  <c r="X54" i="1"/>
  <c r="X56" i="1"/>
  <c r="X57" i="1" s="1"/>
  <c r="V53" i="1"/>
  <c r="V29" i="1"/>
  <c r="P38" i="1"/>
  <c r="V44" i="1"/>
  <c r="V54" i="1"/>
  <c r="V56" i="1"/>
  <c r="V57" i="1" s="1"/>
  <c r="T56" i="1"/>
  <c r="T57" i="1" s="1"/>
  <c r="Q60" i="1" l="1"/>
  <c r="AI56" i="1"/>
  <c r="AI57" i="1" s="1"/>
  <c r="AI61" i="1" s="1"/>
  <c r="AE57" i="1"/>
</calcChain>
</file>

<file path=xl/comments1.xml><?xml version="1.0" encoding="utf-8"?>
<comments xmlns="http://schemas.openxmlformats.org/spreadsheetml/2006/main">
  <authors>
    <author>Kovaleva</author>
  </authors>
  <commentList>
    <comment ref="K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по мун. Заданию  отчет 2023</t>
        </r>
      </text>
    </comment>
    <comment ref="AJ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прогноз планового периода</t>
        </r>
      </text>
    </comment>
    <comment ref="H15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по предварителной</t>
        </r>
      </text>
    </comment>
    <comment ref="H17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отчет по сети 9 мес.</t>
        </r>
      </text>
    </comment>
    <comment ref="K17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по  отчету среднегодовое</t>
        </r>
      </text>
    </comment>
    <comment ref="J2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без ровесников остаток</t>
        </r>
      </text>
    </comment>
    <comment ref="K2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с персучетом</t>
        </r>
      </text>
    </comment>
    <comment ref="AH2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муниц. Задание  на 01.10.2022 без ровесников</t>
        </r>
      </text>
    </comment>
    <comment ref="AH5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на 31.12.2022</t>
        </r>
      </text>
    </comment>
    <comment ref="AI5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брать на 31.12.2023</t>
        </r>
      </text>
    </comment>
    <comment ref="AJ5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новый период 2024-2026</t>
        </r>
      </text>
    </comment>
    <comment ref="AF5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без ремонта стадионов, другие ремонты 25000, 6363</t>
        </r>
      </text>
    </comment>
    <comment ref="AG5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за минусом изготовление псд на стадионы 2400</t>
        </r>
      </text>
    </comment>
    <comment ref="AH5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с персучетом</t>
        </r>
      </text>
    </comment>
  </commentList>
</comments>
</file>

<file path=xl/sharedStrings.xml><?xml version="1.0" encoding="utf-8"?>
<sst xmlns="http://schemas.openxmlformats.org/spreadsheetml/2006/main" count="102" uniqueCount="82">
  <si>
    <t>Единица измерения</t>
  </si>
  <si>
    <t>2015  год</t>
  </si>
  <si>
    <t>2016 год</t>
  </si>
  <si>
    <t>2017 год</t>
  </si>
  <si>
    <t>1.1.1. Предоставление общедоступного и бесплатного  дошкольного образования детям, создание условий для осуществления присмотра и ухода за детьми</t>
  </si>
  <si>
    <t>1.1.2. Предоставление общедоступного и бесплатного начального общего образования</t>
  </si>
  <si>
    <t>1.1.3. Предоставление общедоступного и бесплатного  основного общего образования</t>
  </si>
  <si>
    <t>1.1.4. Предоставление общедоступного и бесплатного  среднего общего образования</t>
  </si>
  <si>
    <t>учащиеся</t>
  </si>
  <si>
    <t>1.1.5. Предоставление дополнительного образования детям по направлениям деятельности</t>
  </si>
  <si>
    <t>дети</t>
  </si>
  <si>
    <t>обучающиеся</t>
  </si>
  <si>
    <t>2.1.1. Организация отдыха детей в каникулярное время</t>
  </si>
  <si>
    <t>3.1.1. Услуга по предоставлению информационно - аналитической  помощи муниципальным  бюджетным учреждением "Информационно - аналитический  методический центр (МБУ "ИАМЦ")</t>
  </si>
  <si>
    <t>количество рабочих часов</t>
  </si>
  <si>
    <t>к  муниципальной программе</t>
  </si>
  <si>
    <t>Значение показателя объема муниципальной услуги ( работы)</t>
  </si>
  <si>
    <t>2.1 Организация и обеспечение проведения оздоровительной кампании детей</t>
  </si>
  <si>
    <t>Подпрограмма 2 " Развитие  системы защиты прав  детей"</t>
  </si>
  <si>
    <t>Подпрограмма  3 " Обеспечение  реализации муниципальной  программы "Развитие образования города Благовещенска на 2015-2020 годы" и прочие мероприятия в области образования"</t>
  </si>
  <si>
    <t xml:space="preserve"> Основное  мероприятие 3.1 Организация деятельности в сфере образования</t>
  </si>
  <si>
    <t>Физические лица  с  ограниченными возможностями здоровья</t>
  </si>
  <si>
    <t>Физические лица</t>
  </si>
  <si>
    <t>Физические лица; Физические лица без ограниченных возможностей здоровья; Физические лица от 1,5 до 3 лет; Физические лица от 3 до 5 лет; Физические лица от 5 до 7 лет; Физические лица с ограниченными возможностями здоровья</t>
  </si>
  <si>
    <t>1.1.4  Реализация основных общеобразовательных программ основного общего образования. Адаптированные образовательные программы основного общего образования</t>
  </si>
  <si>
    <t>1.1.5  Реализация основных общеобразовательных программ среднего общего образования</t>
  </si>
  <si>
    <t>1.1.10  Присмотр  и уход</t>
  </si>
  <si>
    <t>1.1.2  Реализация основных общеобразовательных программ начального общего образования. Адаптированные образовательные программы начального общего образования</t>
  </si>
  <si>
    <t>1.1.1 Реализация основных общеобразовательных программ дошкольного образования</t>
  </si>
  <si>
    <t xml:space="preserve">Физические лица </t>
  </si>
  <si>
    <t>1.1.2 Присмотр и уход</t>
  </si>
  <si>
    <t>1.1.3  Реализация основных общеобразовательных программ начального общего образования</t>
  </si>
  <si>
    <t>1.1.4  Реализация основных общеобразовательных программ основного общего образования</t>
  </si>
  <si>
    <t>1.1.6  Реализация дополнительных  общеразвивающих программ</t>
  </si>
  <si>
    <t>1.1.7  Реализация дополнительных  предпрофессиональных программ в области физической культуры и спорта</t>
  </si>
  <si>
    <t xml:space="preserve">Количество отчетов, составленных по результатам работы, количество разработанных документов, количество проведенных консультаций
</t>
  </si>
  <si>
    <t>город</t>
  </si>
  <si>
    <r>
      <rPr>
        <sz val="14"/>
        <rFont val="Calibri"/>
        <family val="2"/>
        <charset val="204"/>
      </rPr>
      <t>*</t>
    </r>
    <r>
      <rPr>
        <sz val="14"/>
        <rFont val="Times New Roman"/>
        <family val="1"/>
        <charset val="204"/>
      </rPr>
      <t xml:space="preserve"> Наименование услуг ( работы), единицы измерения, значение  показателя объема муниципальной услуги ( работы), используемых в 2015 году применяются в редакции постановления администрации города Благовещенска от 22.10.2015 № 3890 " О внесении изменений в муниципальную программу " Развитие образования города Благовещенска на 2015-2020 годы", утвержденную постановлением администрации города Благовещенска от 03.10.2014 № 4131</t>
    </r>
  </si>
  <si>
    <t>2018 год</t>
  </si>
  <si>
    <t>2019 год</t>
  </si>
  <si>
    <t>2020 год</t>
  </si>
  <si>
    <t>удо</t>
  </si>
  <si>
    <t>дети сош</t>
  </si>
  <si>
    <t>доу</t>
  </si>
  <si>
    <t>уточнение</t>
  </si>
  <si>
    <t>отклонение</t>
  </si>
  <si>
    <t>сош</t>
  </si>
  <si>
    <t>проверить все по муниципальному заданию</t>
  </si>
  <si>
    <t>Количество человеко - часов, человеко - час</t>
  </si>
  <si>
    <r>
      <rPr>
        <sz val="14"/>
        <rFont val="Calibri"/>
        <family val="2"/>
        <charset val="204"/>
      </rPr>
      <t>**</t>
    </r>
    <r>
      <rPr>
        <sz val="14"/>
        <rFont val="Times New Roman"/>
        <family val="1"/>
        <charset val="204"/>
      </rPr>
      <t xml:space="preserve"> Наименование услуг ( работы), единицы измерения, значение  показателя объема муниципальной услуги ( работы), используемых в 2016 году применяются в редакции постановления администрации города Благовещенска от 27.06.2017  №  2008 " О внесении изменений в муниципальную программу " Развитие образования города Благовещенска на 2015-2020 годы", утвержденную постановлением администрации города Благовещенска от 03.10.2014 № 4131</t>
    </r>
  </si>
  <si>
    <r>
      <rPr>
        <sz val="14"/>
        <rFont val="Calibri"/>
        <family val="2"/>
        <charset val="204"/>
      </rPr>
      <t>***</t>
    </r>
    <r>
      <rPr>
        <sz val="14"/>
        <rFont val="Times New Roman"/>
        <family val="1"/>
        <charset val="204"/>
      </rPr>
      <t xml:space="preserve"> Наименование услуг ( работы), единицы измерения, значение  показателя объема муниципальной услуги ( работы), используемых в 2017 году применяются в редакции постановления администрации города Благовещенска от 28.12.2017  №  4740 " О внесении изменений в муниципальную программу " Развитие образования города Благовещенска на 2015-2020 годы", утвержденную постановлением администрации города Благовещенска от 03.10.2014 № 4131</t>
    </r>
  </si>
  <si>
    <t xml:space="preserve">2017 год </t>
  </si>
  <si>
    <t>3.1.2 Психолого-медико- педагогическое обследование детей</t>
  </si>
  <si>
    <t>2021 год</t>
  </si>
  <si>
    <t>иамц</t>
  </si>
  <si>
    <t>2022  год</t>
  </si>
  <si>
    <t>2023 год</t>
  </si>
  <si>
    <t>2024 год</t>
  </si>
  <si>
    <t>2025 год</t>
  </si>
  <si>
    <r>
      <t>2015  год</t>
    </r>
    <r>
      <rPr>
        <sz val="12"/>
        <rFont val="Calibri"/>
        <family val="2"/>
        <charset val="204"/>
      </rPr>
      <t>*</t>
    </r>
  </si>
  <si>
    <r>
      <t>2016 год</t>
    </r>
    <r>
      <rPr>
        <sz val="12"/>
        <rFont val="Calibri"/>
        <family val="2"/>
        <charset val="204"/>
      </rPr>
      <t>**</t>
    </r>
  </si>
  <si>
    <r>
      <t xml:space="preserve">3.1.1 Методическое обеспечение образовательной деятельности </t>
    </r>
    <r>
      <rPr>
        <sz val="12"/>
        <rFont val="Calibri"/>
        <family val="2"/>
        <charset val="204"/>
      </rPr>
      <t>***</t>
    </r>
  </si>
  <si>
    <t>Расходы городского бюджета на оказание муниципальной услуги ( выполнение работы), тыс. руб.</t>
  </si>
  <si>
    <t>Подпрограмма  3 " Обеспечение  реализации муниципальной  программы "Развитие образования города Благовещенска " и прочие мероприятия в области образования"</t>
  </si>
  <si>
    <t>Подпрограмма 1"Развитие дошкольного, общего и дополнительного образования детей"</t>
  </si>
  <si>
    <t xml:space="preserve"> Основное  мероприятие 3.1 "Организация деятельности в сфере образования"</t>
  </si>
  <si>
    <t>Прогноз сводных  показателей муниципальных заданий на оказание муниципальных услуг (выполнение работ) муниципальными  учреждениями  по муниципальной программе на очередной финансовый год и плановый период</t>
  </si>
  <si>
    <t>к постановлению администрации города</t>
  </si>
  <si>
    <t>Наименования  услуги ( работы), показателя объема услуги (работы)</t>
  </si>
  <si>
    <t>1ст.</t>
  </si>
  <si>
    <t>2 ст</t>
  </si>
  <si>
    <t>3 ст</t>
  </si>
  <si>
    <t>Приложение № 4</t>
  </si>
  <si>
    <t xml:space="preserve"> Основное мероприятие 1.1 "Обеспечение реализации программ дошкольного, начального, основного, среднего и дополнительного образования"</t>
  </si>
  <si>
    <t>брать только муниципальное задание без иных по городу</t>
  </si>
  <si>
    <t>2026 год</t>
  </si>
  <si>
    <t>Количество мероприятий</t>
  </si>
  <si>
    <t>1.1.8 Реализация дополнительных образовательных программ спортивной подготовки по олимпийским (неолимпийским) видам спорта</t>
  </si>
  <si>
    <t>1.1.9 Обеспечение участия лиц, проходящих спортивную подгоовку в спортивных соревнованиях</t>
  </si>
  <si>
    <t>по лицевому счету, новые по ведомственной</t>
  </si>
  <si>
    <t>Приложение № 3</t>
  </si>
  <si>
    <t>Благовещенска от 12.01.2024 № 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</si>
</sst>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.5"/>
      <name val="Times New Roman"/>
      <family val="1"/>
      <charset val="204"/>
    </font>
    <font>
      <sz val="12.5"/>
      <name val="Times New Roman"/>
      <family val="2"/>
    </font>
    <font>
      <sz val="14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2"/>
      <name val="Calibri"/>
      <family val="2"/>
      <charset val="204"/>
    </font>
    <font>
      <sz val="12"/>
      <name val="Times New Roman"/>
      <family val="2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3">
    <xf numFmtId="0" fontId="0" fillId="0" borderId="0" xfId="0"/>
    <xf numFmtId="165" fontId="6" fillId="2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horizontal="right" vertical="center"/>
    </xf>
    <xf numFmtId="0" fontId="3" fillId="2" borderId="0" xfId="0" applyFont="1" applyFill="1"/>
    <xf numFmtId="0" fontId="10" fillId="2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3" fontId="6" fillId="2" borderId="1" xfId="0" applyNumberFormat="1" applyFont="1" applyFill="1" applyBorder="1" applyAlignment="1">
      <alignment horizontal="center"/>
    </xf>
    <xf numFmtId="3" fontId="6" fillId="2" borderId="5" xfId="0" applyNumberFormat="1" applyFont="1" applyFill="1" applyBorder="1" applyAlignment="1">
      <alignment horizontal="center"/>
    </xf>
    <xf numFmtId="3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4" fontId="10" fillId="2" borderId="0" xfId="0" applyNumberFormat="1" applyFont="1" applyFill="1" applyAlignment="1"/>
    <xf numFmtId="3" fontId="18" fillId="2" borderId="6" xfId="0" applyNumberFormat="1" applyFont="1" applyFill="1" applyBorder="1" applyAlignment="1">
      <alignment horizontal="center"/>
    </xf>
    <xf numFmtId="3" fontId="18" fillId="2" borderId="0" xfId="0" applyNumberFormat="1" applyFont="1" applyFill="1" applyBorder="1" applyAlignment="1">
      <alignment horizontal="center"/>
    </xf>
    <xf numFmtId="0" fontId="19" fillId="2" borderId="0" xfId="0" applyFont="1" applyFill="1"/>
    <xf numFmtId="165" fontId="19" fillId="2" borderId="0" xfId="0" applyNumberFormat="1" applyFont="1" applyFill="1"/>
    <xf numFmtId="4" fontId="19" fillId="2" borderId="0" xfId="0" applyNumberFormat="1" applyFont="1" applyFill="1" applyAlignment="1"/>
    <xf numFmtId="0" fontId="18" fillId="2" borderId="6" xfId="0" applyFont="1" applyFill="1" applyBorder="1" applyAlignment="1">
      <alignment horizontal="center"/>
    </xf>
    <xf numFmtId="0" fontId="18" fillId="2" borderId="10" xfId="0" applyFont="1" applyFill="1" applyBorder="1" applyAlignment="1">
      <alignment horizontal="center"/>
    </xf>
    <xf numFmtId="0" fontId="18" fillId="2" borderId="9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wrapText="1"/>
    </xf>
    <xf numFmtId="165" fontId="6" fillId="2" borderId="5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4" fontId="10" fillId="2" borderId="0" xfId="0" applyNumberFormat="1" applyFont="1" applyFill="1"/>
    <xf numFmtId="0" fontId="10" fillId="2" borderId="5" xfId="0" applyFont="1" applyFill="1" applyBorder="1"/>
    <xf numFmtId="165" fontId="6" fillId="2" borderId="1" xfId="0" applyNumberFormat="1" applyFont="1" applyFill="1" applyBorder="1" applyAlignment="1">
      <alignment vertical="top" wrapText="1"/>
    </xf>
    <xf numFmtId="0" fontId="17" fillId="2" borderId="1" xfId="0" applyFont="1" applyFill="1" applyBorder="1" applyAlignment="1">
      <alignment horizontal="left" vertical="top" wrapText="1"/>
    </xf>
    <xf numFmtId="165" fontId="6" fillId="2" borderId="0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right"/>
    </xf>
    <xf numFmtId="4" fontId="10" fillId="2" borderId="0" xfId="0" applyNumberFormat="1" applyFont="1" applyFill="1" applyAlignment="1">
      <alignment horizontal="right"/>
    </xf>
    <xf numFmtId="0" fontId="17" fillId="2" borderId="1" xfId="0" applyFont="1" applyFill="1" applyBorder="1" applyAlignment="1">
      <alignment vertical="top" wrapText="1"/>
    </xf>
    <xf numFmtId="3" fontId="17" fillId="2" borderId="1" xfId="0" applyNumberFormat="1" applyFont="1" applyFill="1" applyBorder="1" applyAlignment="1">
      <alignment horizontal="right" vertical="center"/>
    </xf>
    <xf numFmtId="165" fontId="17" fillId="2" borderId="1" xfId="0" applyNumberFormat="1" applyFont="1" applyFill="1" applyBorder="1" applyAlignment="1">
      <alignment horizontal="right" vertical="center"/>
    </xf>
    <xf numFmtId="165" fontId="17" fillId="2" borderId="0" xfId="0" applyNumberFormat="1" applyFont="1" applyFill="1" applyBorder="1" applyAlignment="1">
      <alignment horizontal="right" vertical="center"/>
    </xf>
    <xf numFmtId="0" fontId="17" fillId="2" borderId="1" xfId="0" applyFont="1" applyFill="1" applyBorder="1" applyAlignment="1">
      <alignment horizontal="right" vertical="top" wrapText="1"/>
    </xf>
    <xf numFmtId="165" fontId="10" fillId="2" borderId="0" xfId="0" applyNumberFormat="1" applyFont="1" applyFill="1" applyAlignment="1">
      <alignment horizontal="right"/>
    </xf>
    <xf numFmtId="0" fontId="6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right"/>
    </xf>
    <xf numFmtId="0" fontId="17" fillId="2" borderId="6" xfId="0" applyFont="1" applyFill="1" applyBorder="1" applyAlignment="1">
      <alignment horizontal="right" vertical="top" wrapText="1"/>
    </xf>
    <xf numFmtId="3" fontId="17" fillId="2" borderId="6" xfId="0" applyNumberFormat="1" applyFont="1" applyFill="1" applyBorder="1" applyAlignment="1">
      <alignment horizontal="right" vertical="center"/>
    </xf>
    <xf numFmtId="165" fontId="17" fillId="2" borderId="6" xfId="0" applyNumberFormat="1" applyFont="1" applyFill="1" applyBorder="1" applyAlignment="1">
      <alignment horizontal="right" vertical="center"/>
    </xf>
    <xf numFmtId="0" fontId="10" fillId="2" borderId="6" xfId="0" applyFont="1" applyFill="1" applyBorder="1" applyAlignment="1">
      <alignment horizontal="right"/>
    </xf>
    <xf numFmtId="0" fontId="17" fillId="2" borderId="6" xfId="0" applyFont="1" applyFill="1" applyBorder="1" applyAlignment="1">
      <alignment horizontal="left" vertical="top" wrapText="1"/>
    </xf>
    <xf numFmtId="165" fontId="6" fillId="2" borderId="6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/>
    </xf>
    <xf numFmtId="0" fontId="8" fillId="2" borderId="5" xfId="0" applyFont="1" applyFill="1" applyBorder="1" applyAlignment="1">
      <alignment horizontal="left" vertical="top" wrapText="1"/>
    </xf>
    <xf numFmtId="3" fontId="8" fillId="2" borderId="5" xfId="0" applyNumberFormat="1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/>
    </xf>
    <xf numFmtId="4" fontId="3" fillId="2" borderId="0" xfId="0" applyNumberFormat="1" applyFont="1" applyFill="1"/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wrapText="1"/>
    </xf>
    <xf numFmtId="3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4" fontId="3" fillId="2" borderId="0" xfId="1" applyNumberFormat="1" applyFont="1" applyFill="1" applyAlignment="1">
      <alignment horizontal="center"/>
    </xf>
    <xf numFmtId="165" fontId="2" fillId="2" borderId="1" xfId="0" applyNumberFormat="1" applyFont="1" applyFill="1" applyBorder="1"/>
    <xf numFmtId="3" fontId="2" fillId="2" borderId="1" xfId="0" applyNumberFormat="1" applyFont="1" applyFill="1" applyBorder="1" applyAlignment="1">
      <alignment horizontal="center"/>
    </xf>
    <xf numFmtId="165" fontId="2" fillId="2" borderId="1" xfId="0" applyNumberFormat="1" applyFont="1" applyFill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165" fontId="3" fillId="2" borderId="0" xfId="0" applyNumberFormat="1" applyFont="1" applyFill="1"/>
    <xf numFmtId="165" fontId="2" fillId="2" borderId="0" xfId="0" applyNumberFormat="1" applyFont="1" applyFill="1" applyBorder="1" applyAlignment="1">
      <alignment wrapText="1"/>
    </xf>
    <xf numFmtId="165" fontId="2" fillId="2" borderId="0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vertical="center"/>
    </xf>
    <xf numFmtId="165" fontId="5" fillId="2" borderId="0" xfId="0" applyNumberFormat="1" applyFont="1" applyFill="1"/>
    <xf numFmtId="165" fontId="5" fillId="2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Alignment="1"/>
    <xf numFmtId="165" fontId="12" fillId="2" borderId="0" xfId="0" applyNumberFormat="1" applyFont="1" applyFill="1"/>
    <xf numFmtId="165" fontId="11" fillId="2" borderId="0" xfId="0" applyNumberFormat="1" applyFont="1" applyFill="1"/>
    <xf numFmtId="3" fontId="5" fillId="2" borderId="0" xfId="0" applyNumberFormat="1" applyFont="1" applyFill="1"/>
    <xf numFmtId="165" fontId="20" fillId="2" borderId="0" xfId="0" applyNumberFormat="1" applyFont="1" applyFill="1"/>
    <xf numFmtId="165" fontId="7" fillId="2" borderId="0" xfId="0" applyNumberFormat="1" applyFont="1" applyFill="1"/>
    <xf numFmtId="165" fontId="6" fillId="2" borderId="0" xfId="0" applyNumberFormat="1" applyFont="1" applyFill="1"/>
    <xf numFmtId="0" fontId="14" fillId="2" borderId="0" xfId="0" applyFont="1" applyFill="1"/>
    <xf numFmtId="0" fontId="13" fillId="2" borderId="0" xfId="0" applyFont="1" applyFill="1"/>
    <xf numFmtId="0" fontId="15" fillId="2" borderId="0" xfId="0" applyFont="1" applyFill="1"/>
    <xf numFmtId="165" fontId="11" fillId="3" borderId="0" xfId="0" applyNumberFormat="1" applyFont="1" applyFill="1"/>
    <xf numFmtId="165" fontId="5" fillId="3" borderId="0" xfId="0" applyNumberFormat="1" applyFont="1" applyFill="1"/>
    <xf numFmtId="0" fontId="3" fillId="3" borderId="0" xfId="0" applyFont="1" applyFill="1"/>
    <xf numFmtId="165" fontId="20" fillId="3" borderId="0" xfId="0" applyNumberFormat="1" applyFont="1" applyFill="1"/>
    <xf numFmtId="0" fontId="3" fillId="2" borderId="0" xfId="0" applyFont="1" applyFill="1" applyBorder="1" applyAlignment="1">
      <alignment wrapText="1"/>
    </xf>
    <xf numFmtId="0" fontId="18" fillId="2" borderId="1" xfId="0" applyFont="1" applyFill="1" applyBorder="1" applyAlignment="1">
      <alignment horizontal="center"/>
    </xf>
    <xf numFmtId="0" fontId="10" fillId="2" borderId="1" xfId="0" applyFont="1" applyFill="1" applyBorder="1"/>
    <xf numFmtId="165" fontId="6" fillId="3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right"/>
    </xf>
    <xf numFmtId="0" fontId="10" fillId="2" borderId="0" xfId="0" applyFont="1" applyFill="1" applyAlignment="1"/>
    <xf numFmtId="0" fontId="3" fillId="2" borderId="0" xfId="0" applyFont="1" applyFill="1" applyAlignment="1">
      <alignment horizontal="left"/>
    </xf>
    <xf numFmtId="0" fontId="12" fillId="2" borderId="0" xfId="0" applyFont="1" applyFill="1" applyAlignment="1"/>
    <xf numFmtId="0" fontId="3" fillId="2" borderId="0" xfId="0" applyFont="1" applyFill="1" applyAlignment="1"/>
    <xf numFmtId="0" fontId="13" fillId="4" borderId="0" xfId="0" applyFont="1" applyFill="1"/>
    <xf numFmtId="4" fontId="13" fillId="5" borderId="0" xfId="0" applyNumberFormat="1" applyFont="1" applyFill="1"/>
    <xf numFmtId="165" fontId="2" fillId="2" borderId="0" xfId="0" applyNumberFormat="1" applyFont="1" applyFill="1"/>
    <xf numFmtId="4" fontId="2" fillId="2" borderId="0" xfId="0" applyNumberFormat="1" applyFont="1" applyFill="1"/>
    <xf numFmtId="4" fontId="23" fillId="5" borderId="0" xfId="0" applyNumberFormat="1" applyFont="1" applyFill="1"/>
    <xf numFmtId="4" fontId="24" fillId="5" borderId="0" xfId="0" applyNumberFormat="1" applyFont="1" applyFill="1"/>
    <xf numFmtId="4" fontId="4" fillId="2" borderId="0" xfId="0" applyNumberFormat="1" applyFont="1" applyFill="1"/>
    <xf numFmtId="4" fontId="13" fillId="3" borderId="0" xfId="0" applyNumberFormat="1" applyFont="1" applyFill="1"/>
    <xf numFmtId="165" fontId="2" fillId="2" borderId="2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165" fontId="5" fillId="2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2" borderId="0" xfId="0" applyFont="1" applyFill="1" applyAlignment="1"/>
    <xf numFmtId="0" fontId="0" fillId="0" borderId="0" xfId="0" applyAlignment="1"/>
    <xf numFmtId="0" fontId="12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12" fillId="2" borderId="0" xfId="0" applyFont="1" applyFill="1" applyAlignment="1"/>
    <xf numFmtId="0" fontId="11" fillId="2" borderId="0" xfId="0" applyFont="1" applyFill="1" applyBorder="1" applyAlignment="1">
      <alignment horizontal="center" vertical="center" wrapText="1"/>
    </xf>
    <xf numFmtId="0" fontId="6" fillId="2" borderId="0" xfId="0" applyFont="1" applyFill="1" applyAlignment="1"/>
    <xf numFmtId="0" fontId="10" fillId="2" borderId="0" xfId="0" applyFont="1" applyFill="1" applyAlignment="1"/>
    <xf numFmtId="0" fontId="6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165" fontId="2" fillId="2" borderId="2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5" fontId="6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/>
    <xf numFmtId="165" fontId="6" fillId="2" borderId="2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10" fillId="2" borderId="3" xfId="0" applyFont="1" applyFill="1" applyBorder="1" applyAlignment="1"/>
    <xf numFmtId="0" fontId="0" fillId="2" borderId="4" xfId="0" applyFill="1" applyBorder="1" applyAlignment="1"/>
    <xf numFmtId="165" fontId="6" fillId="2" borderId="2" xfId="0" applyNumberFormat="1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165" fontId="6" fillId="2" borderId="2" xfId="0" applyNumberFormat="1" applyFont="1" applyFill="1" applyBorder="1" applyAlignment="1">
      <alignment horizontal="center"/>
    </xf>
    <xf numFmtId="0" fontId="0" fillId="0" borderId="4" xfId="0" applyBorder="1" applyAlignment="1"/>
    <xf numFmtId="165" fontId="6" fillId="2" borderId="7" xfId="0" applyNumberFormat="1" applyFont="1" applyFill="1" applyBorder="1" applyAlignment="1">
      <alignment horizontal="center" wrapText="1"/>
    </xf>
    <xf numFmtId="0" fontId="10" fillId="2" borderId="8" xfId="0" applyFont="1" applyFill="1" applyBorder="1" applyAlignment="1">
      <alignment horizontal="center" wrapText="1"/>
    </xf>
    <xf numFmtId="0" fontId="10" fillId="2" borderId="8" xfId="0" applyFont="1" applyFill="1" applyBorder="1" applyAlignment="1">
      <alignment horizontal="center"/>
    </xf>
    <xf numFmtId="0" fontId="0" fillId="0" borderId="9" xfId="0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X81"/>
  <sheetViews>
    <sheetView tabSelected="1" topLeftCell="F1" zoomScale="75" zoomScaleNormal="75" workbookViewId="0">
      <selection activeCell="L6" sqref="L6"/>
    </sheetView>
  </sheetViews>
  <sheetFormatPr defaultColWidth="9.140625" defaultRowHeight="15" x14ac:dyDescent="0.25"/>
  <cols>
    <col min="1" max="1" width="26.140625" style="3" customWidth="1"/>
    <col min="2" max="2" width="16.42578125" style="3" customWidth="1"/>
    <col min="3" max="3" width="9.7109375" style="3" customWidth="1"/>
    <col min="4" max="4" width="11.28515625" style="3" customWidth="1"/>
    <col min="5" max="5" width="10.7109375" style="3" customWidth="1"/>
    <col min="6" max="6" width="11.7109375" style="3" customWidth="1"/>
    <col min="7" max="7" width="10.85546875" style="3" customWidth="1"/>
    <col min="8" max="8" width="10.5703125" style="3" customWidth="1"/>
    <col min="9" max="9" width="10.85546875" style="3" customWidth="1"/>
    <col min="10" max="10" width="12" style="3" customWidth="1"/>
    <col min="11" max="11" width="11.28515625" style="3" customWidth="1"/>
    <col min="12" max="12" width="11.140625" style="3" customWidth="1"/>
    <col min="13" max="14" width="12.28515625" style="3" customWidth="1"/>
    <col min="15" max="15" width="10.85546875" style="3" customWidth="1"/>
    <col min="16" max="16" width="11.5703125" style="3" customWidth="1"/>
    <col min="17" max="17" width="13.140625" style="3" customWidth="1"/>
    <col min="18" max="19" width="15.42578125" style="3" hidden="1" customWidth="1"/>
    <col min="20" max="20" width="12.42578125" style="3" hidden="1" customWidth="1"/>
    <col min="21" max="21" width="13.28515625" style="3" hidden="1" customWidth="1"/>
    <col min="22" max="22" width="15.7109375" style="3" hidden="1" customWidth="1"/>
    <col min="23" max="23" width="15.42578125" style="3" hidden="1" customWidth="1"/>
    <col min="24" max="24" width="11.85546875" style="3" hidden="1" customWidth="1"/>
    <col min="25" max="25" width="11.140625" style="3" hidden="1" customWidth="1"/>
    <col min="26" max="26" width="11.5703125" style="3" hidden="1" customWidth="1"/>
    <col min="27" max="27" width="10" style="3" hidden="1" customWidth="1"/>
    <col min="28" max="28" width="9.140625" style="3" hidden="1" customWidth="1"/>
    <col min="29" max="29" width="12.5703125" style="3" hidden="1" customWidth="1"/>
    <col min="30" max="30" width="12.28515625" style="3" customWidth="1"/>
    <col min="31" max="31" width="13.140625" style="3" customWidth="1"/>
    <col min="32" max="32" width="11.7109375" style="3" customWidth="1"/>
    <col min="33" max="33" width="12.28515625" style="3" customWidth="1"/>
    <col min="34" max="34" width="12.5703125" style="3" customWidth="1"/>
    <col min="35" max="35" width="11.7109375" style="3" customWidth="1"/>
    <col min="36" max="36" width="12.28515625" style="3" customWidth="1"/>
    <col min="37" max="37" width="11.5703125" style="3" customWidth="1"/>
    <col min="38" max="38" width="12.28515625" style="3" customWidth="1"/>
    <col min="39" max="39" width="9.140625" style="3" customWidth="1"/>
    <col min="40" max="40" width="9.140625" style="3" hidden="1" customWidth="1"/>
    <col min="41" max="42" width="9.140625" style="3" customWidth="1"/>
    <col min="43" max="43" width="0.28515625" style="3" customWidth="1"/>
    <col min="44" max="46" width="9.140625" style="3" customWidth="1"/>
    <col min="47" max="47" width="11.28515625" style="3" customWidth="1"/>
    <col min="48" max="48" width="0.5703125" style="3" customWidth="1"/>
    <col min="49" max="50" width="9.140625" style="3" customWidth="1"/>
    <col min="51" max="16384" width="9.140625" style="3"/>
  </cols>
  <sheetData>
    <row r="2" spans="1:40" x14ac:dyDescent="0.25">
      <c r="AI2" s="95" t="s">
        <v>80</v>
      </c>
      <c r="AJ2" s="95"/>
      <c r="AK2" s="95"/>
      <c r="AL2" s="95"/>
    </row>
    <row r="3" spans="1:40" x14ac:dyDescent="0.25">
      <c r="AI3" s="95" t="s">
        <v>67</v>
      </c>
      <c r="AJ3" s="95"/>
      <c r="AK3" s="95"/>
      <c r="AL3" s="95"/>
    </row>
    <row r="4" spans="1:40" x14ac:dyDescent="0.25">
      <c r="AI4" s="95" t="s">
        <v>81</v>
      </c>
      <c r="AJ4" s="95"/>
      <c r="AK4" s="95"/>
      <c r="AL4" s="95"/>
    </row>
    <row r="5" spans="1:40" x14ac:dyDescent="0.3">
      <c r="AI5" s="95"/>
      <c r="AJ5" s="95"/>
      <c r="AK5" s="95"/>
      <c r="AL5" s="95"/>
    </row>
    <row r="6" spans="1:40" ht="15.75" x14ac:dyDescent="0.25">
      <c r="O6" s="120"/>
      <c r="P6" s="121"/>
      <c r="Q6" s="121"/>
      <c r="R6" s="4"/>
      <c r="S6" s="4"/>
      <c r="AD6" s="5"/>
      <c r="AE6" s="114"/>
      <c r="AF6" s="115"/>
      <c r="AG6" s="115"/>
      <c r="AI6" s="114" t="s">
        <v>72</v>
      </c>
      <c r="AJ6" s="115"/>
      <c r="AK6" s="115"/>
      <c r="AL6" s="94"/>
    </row>
    <row r="7" spans="1:40" ht="15.75" x14ac:dyDescent="0.25">
      <c r="O7" s="118"/>
      <c r="P7" s="119"/>
      <c r="Q7" s="119"/>
      <c r="R7" s="93"/>
      <c r="S7" s="93"/>
      <c r="AD7" s="95"/>
      <c r="AE7" s="116"/>
      <c r="AF7" s="112"/>
      <c r="AG7" s="112"/>
      <c r="AI7" s="116" t="s">
        <v>15</v>
      </c>
      <c r="AJ7" s="112"/>
      <c r="AK7" s="112"/>
      <c r="AL7" s="96"/>
    </row>
    <row r="8" spans="1:40" ht="36.950000000000003" customHeight="1" x14ac:dyDescent="0.25">
      <c r="A8" s="117" t="s">
        <v>66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96"/>
    </row>
    <row r="9" spans="1:40" ht="27" customHeight="1" x14ac:dyDescent="0.25">
      <c r="A9" s="125" t="s">
        <v>68</v>
      </c>
      <c r="B9" s="125" t="s">
        <v>0</v>
      </c>
      <c r="C9" s="127" t="s">
        <v>16</v>
      </c>
      <c r="D9" s="128"/>
      <c r="E9" s="128"/>
      <c r="F9" s="129"/>
      <c r="G9" s="129"/>
      <c r="H9" s="129"/>
      <c r="I9" s="129"/>
      <c r="J9" s="129"/>
      <c r="K9" s="129"/>
      <c r="L9" s="129"/>
      <c r="M9" s="129"/>
      <c r="N9" s="130"/>
      <c r="O9" s="127" t="s">
        <v>62</v>
      </c>
      <c r="P9" s="129"/>
      <c r="Q9" s="129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2"/>
    </row>
    <row r="10" spans="1:40" ht="43.15" customHeight="1" x14ac:dyDescent="0.25">
      <c r="A10" s="126"/>
      <c r="B10" s="126"/>
      <c r="C10" s="6" t="s">
        <v>59</v>
      </c>
      <c r="D10" s="6" t="s">
        <v>60</v>
      </c>
      <c r="E10" s="6" t="s">
        <v>51</v>
      </c>
      <c r="F10" s="6" t="s">
        <v>38</v>
      </c>
      <c r="G10" s="6" t="s">
        <v>39</v>
      </c>
      <c r="H10" s="6" t="s">
        <v>40</v>
      </c>
      <c r="I10" s="7" t="s">
        <v>53</v>
      </c>
      <c r="J10" s="7" t="s">
        <v>55</v>
      </c>
      <c r="K10" s="7" t="s">
        <v>56</v>
      </c>
      <c r="L10" s="7" t="s">
        <v>57</v>
      </c>
      <c r="M10" s="7" t="s">
        <v>58</v>
      </c>
      <c r="N10" s="7" t="s">
        <v>75</v>
      </c>
      <c r="O10" s="7" t="s">
        <v>1</v>
      </c>
      <c r="P10" s="7" t="s">
        <v>2</v>
      </c>
      <c r="Q10" s="7" t="s">
        <v>3</v>
      </c>
      <c r="R10" s="8"/>
      <c r="S10" s="8"/>
      <c r="T10" s="9"/>
      <c r="U10" s="9"/>
      <c r="V10" s="9"/>
      <c r="W10" s="9">
        <f>P16/R15%</f>
        <v>75.662387562722074</v>
      </c>
      <c r="X10" s="9" t="s">
        <v>36</v>
      </c>
      <c r="Y10" s="10">
        <v>339732.4</v>
      </c>
      <c r="Z10" s="10">
        <f>Y10-P16</f>
        <v>104139.70000000004</v>
      </c>
      <c r="AA10" s="10"/>
      <c r="AB10" s="9"/>
      <c r="AC10" s="9"/>
      <c r="AD10" s="7" t="s">
        <v>38</v>
      </c>
      <c r="AE10" s="7" t="s">
        <v>39</v>
      </c>
      <c r="AF10" s="7" t="s">
        <v>40</v>
      </c>
      <c r="AG10" s="7" t="s">
        <v>53</v>
      </c>
      <c r="AH10" s="7" t="s">
        <v>55</v>
      </c>
      <c r="AI10" s="7" t="s">
        <v>56</v>
      </c>
      <c r="AJ10" s="7" t="s">
        <v>57</v>
      </c>
      <c r="AK10" s="7" t="s">
        <v>58</v>
      </c>
      <c r="AL10" s="7" t="s">
        <v>75</v>
      </c>
    </row>
    <row r="11" spans="1:40" x14ac:dyDescent="0.3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11">
        <v>17</v>
      </c>
      <c r="R11" s="12"/>
      <c r="S11" s="12"/>
      <c r="T11" s="13"/>
      <c r="U11" s="13">
        <f>P15/V15%</f>
        <v>24.337612437277919</v>
      </c>
      <c r="V11" s="14">
        <f>P15-363190.7</f>
        <v>-287409.80000000005</v>
      </c>
      <c r="W11" s="13"/>
      <c r="X11" s="13"/>
      <c r="Y11" s="15"/>
      <c r="Z11" s="15"/>
      <c r="AA11" s="15"/>
      <c r="AB11" s="13"/>
      <c r="AC11" s="13"/>
      <c r="AD11" s="16">
        <v>18</v>
      </c>
      <c r="AE11" s="16">
        <v>19</v>
      </c>
      <c r="AF11" s="16">
        <v>20</v>
      </c>
      <c r="AG11" s="16">
        <v>21</v>
      </c>
      <c r="AH11" s="17">
        <v>22</v>
      </c>
      <c r="AI11" s="18">
        <v>23</v>
      </c>
      <c r="AJ11" s="16">
        <v>24</v>
      </c>
      <c r="AK11" s="16">
        <v>25</v>
      </c>
      <c r="AL11" s="89">
        <v>26</v>
      </c>
    </row>
    <row r="12" spans="1:40" ht="18.95" customHeight="1" x14ac:dyDescent="0.25">
      <c r="A12" s="137" t="s">
        <v>64</v>
      </c>
      <c r="B12" s="135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8"/>
    </row>
    <row r="13" spans="1:40" ht="29.45" customHeight="1" x14ac:dyDescent="0.25">
      <c r="A13" s="133" t="s">
        <v>73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8"/>
    </row>
    <row r="14" spans="1:40" ht="88.5" hidden="1" customHeight="1" x14ac:dyDescent="0.3">
      <c r="A14" s="19" t="s">
        <v>4</v>
      </c>
      <c r="B14" s="20" t="s">
        <v>10</v>
      </c>
      <c r="C14" s="21">
        <v>12287</v>
      </c>
      <c r="D14" s="21">
        <v>12457</v>
      </c>
      <c r="E14" s="21">
        <v>12457</v>
      </c>
      <c r="F14" s="21"/>
      <c r="G14" s="21"/>
      <c r="H14" s="21"/>
      <c r="I14" s="21"/>
      <c r="J14" s="21"/>
      <c r="K14" s="21"/>
      <c r="L14" s="21"/>
      <c r="M14" s="21"/>
      <c r="N14" s="21"/>
      <c r="O14" s="22">
        <f>18584.3+287203.8+4137.9</f>
        <v>309926</v>
      </c>
      <c r="P14" s="22">
        <v>347971</v>
      </c>
      <c r="Q14" s="22">
        <f>P14+88.4</f>
        <v>348059.4</v>
      </c>
      <c r="R14" s="23"/>
      <c r="S14" s="23"/>
      <c r="T14" s="9"/>
      <c r="U14" s="24">
        <v>39882.6</v>
      </c>
      <c r="V14" s="24">
        <v>43645</v>
      </c>
      <c r="W14" s="24">
        <v>46656</v>
      </c>
      <c r="X14" s="24"/>
      <c r="Y14" s="9"/>
      <c r="Z14" s="9"/>
      <c r="AA14" s="9"/>
      <c r="AB14" s="9"/>
      <c r="AC14" s="9"/>
      <c r="AD14" s="25"/>
      <c r="AE14" s="25"/>
      <c r="AF14" s="25"/>
      <c r="AG14" s="25"/>
      <c r="AH14" s="25"/>
      <c r="AI14" s="25"/>
      <c r="AJ14" s="25"/>
      <c r="AK14" s="25"/>
      <c r="AL14" s="90"/>
    </row>
    <row r="15" spans="1:40" ht="90.95" customHeight="1" x14ac:dyDescent="0.25">
      <c r="A15" s="26" t="s">
        <v>28</v>
      </c>
      <c r="B15" s="27" t="s">
        <v>29</v>
      </c>
      <c r="C15" s="2">
        <v>12287</v>
      </c>
      <c r="D15" s="2">
        <f>996+10365+1219+67</f>
        <v>12647</v>
      </c>
      <c r="E15" s="2">
        <v>12970</v>
      </c>
      <c r="F15" s="2">
        <f>12970+80</f>
        <v>13050</v>
      </c>
      <c r="G15" s="2">
        <v>13288</v>
      </c>
      <c r="H15" s="2">
        <f>G15+30</f>
        <v>13318</v>
      </c>
      <c r="I15" s="2">
        <v>13058</v>
      </c>
      <c r="J15" s="2">
        <v>12421</v>
      </c>
      <c r="K15" s="2">
        <v>12080</v>
      </c>
      <c r="L15" s="2">
        <v>12721</v>
      </c>
      <c r="M15" s="2">
        <v>12721</v>
      </c>
      <c r="N15" s="2">
        <v>12721</v>
      </c>
      <c r="O15" s="1">
        <v>65547.8</v>
      </c>
      <c r="P15" s="1">
        <f>75780.9</f>
        <v>75780.899999999994</v>
      </c>
      <c r="Q15" s="1">
        <v>94808</v>
      </c>
      <c r="R15" s="28">
        <f>SUM(P15:P16)</f>
        <v>311373.59999999998</v>
      </c>
      <c r="S15" s="28"/>
      <c r="T15" s="29"/>
      <c r="U15" s="30">
        <f>O15+O16</f>
        <v>293856.59999999998</v>
      </c>
      <c r="V15" s="30">
        <f>P15+P16</f>
        <v>311373.59999999998</v>
      </c>
      <c r="W15" s="30">
        <v>352085.7</v>
      </c>
      <c r="X15" s="30">
        <v>354506.8</v>
      </c>
      <c r="Y15" s="30">
        <f>X15-V15</f>
        <v>43133.200000000012</v>
      </c>
      <c r="Z15" s="29"/>
      <c r="AA15" s="29"/>
      <c r="AB15" s="29"/>
      <c r="AC15" s="29"/>
      <c r="AD15" s="1">
        <v>119907.8</v>
      </c>
      <c r="AE15" s="1">
        <v>151328.6</v>
      </c>
      <c r="AF15" s="1">
        <v>186510.6</v>
      </c>
      <c r="AG15" s="1">
        <f>580373.9-AG16</f>
        <v>178755.20000000001</v>
      </c>
      <c r="AH15" s="1">
        <v>170204.6</v>
      </c>
      <c r="AI15" s="1">
        <v>211874.7</v>
      </c>
      <c r="AJ15" s="1">
        <v>210642</v>
      </c>
      <c r="AK15" s="1">
        <f>217903.3-2.88-2.88-2.88</f>
        <v>217894.65999999997</v>
      </c>
      <c r="AL15" s="1">
        <v>217903.3</v>
      </c>
      <c r="AN15" s="3">
        <v>30.8</v>
      </c>
    </row>
    <row r="16" spans="1:40" ht="40.700000000000003" customHeight="1" x14ac:dyDescent="0.25">
      <c r="A16" s="26" t="s">
        <v>30</v>
      </c>
      <c r="B16" s="27" t="s">
        <v>29</v>
      </c>
      <c r="C16" s="2">
        <v>12287</v>
      </c>
      <c r="D16" s="2">
        <f>128+12519</f>
        <v>12647</v>
      </c>
      <c r="E16" s="2">
        <v>12970</v>
      </c>
      <c r="F16" s="2">
        <v>13050</v>
      </c>
      <c r="G16" s="2">
        <f>G15</f>
        <v>13288</v>
      </c>
      <c r="H16" s="2">
        <f>H15</f>
        <v>13318</v>
      </c>
      <c r="I16" s="2">
        <f>I15</f>
        <v>13058</v>
      </c>
      <c r="J16" s="2">
        <f>J15</f>
        <v>12421</v>
      </c>
      <c r="K16" s="2">
        <f>K15</f>
        <v>12080</v>
      </c>
      <c r="L16" s="2">
        <f t="shared" ref="L16:M16" si="0">L15</f>
        <v>12721</v>
      </c>
      <c r="M16" s="2">
        <f t="shared" si="0"/>
        <v>12721</v>
      </c>
      <c r="N16" s="2">
        <v>12721</v>
      </c>
      <c r="O16" s="1">
        <v>228308.8</v>
      </c>
      <c r="P16" s="1">
        <f>4851.8+145196.6+35390.2+27004.2+264.8+51234.9+9-16822.4+554.8-1173.5-291.2-10626.5</f>
        <v>235592.69999999998</v>
      </c>
      <c r="Q16" s="1">
        <f>254360-23506.2-2775.1</f>
        <v>228078.69999999998</v>
      </c>
      <c r="R16" s="28"/>
      <c r="S16" s="28">
        <f>SUM(S17:S21)</f>
        <v>99.999999999999986</v>
      </c>
      <c r="T16" s="30"/>
      <c r="U16" s="30"/>
      <c r="V16" s="30"/>
      <c r="W16" s="30"/>
      <c r="X16" s="30"/>
      <c r="Y16" s="29"/>
      <c r="Z16" s="29"/>
      <c r="AA16" s="29"/>
      <c r="AB16" s="29"/>
      <c r="AC16" s="29"/>
      <c r="AD16" s="1">
        <v>318342.2</v>
      </c>
      <c r="AE16" s="1">
        <v>339998.1</v>
      </c>
      <c r="AF16" s="1">
        <v>419043.4</v>
      </c>
      <c r="AG16" s="1">
        <v>401618.7</v>
      </c>
      <c r="AH16" s="1">
        <f>556405.9-AH15-39728-1.1+637.9+47000+216.1+61485.1+37290</f>
        <v>493101.30000000005</v>
      </c>
      <c r="AI16" s="1">
        <v>526364.69999999995</v>
      </c>
      <c r="AJ16" s="1">
        <f>701876.9-AJ15+1185.2</f>
        <v>492420.10000000003</v>
      </c>
      <c r="AK16" s="1">
        <f>726313.12-AK15+1092.8-1.44</f>
        <v>509509.82</v>
      </c>
      <c r="AL16" s="1">
        <f>713291.7-AL15</f>
        <v>495388.39999999997</v>
      </c>
      <c r="AN16" s="3">
        <v>69.2</v>
      </c>
    </row>
    <row r="17" spans="1:41" ht="85.15" customHeight="1" x14ac:dyDescent="0.25">
      <c r="A17" s="31" t="s">
        <v>31</v>
      </c>
      <c r="B17" s="27" t="s">
        <v>22</v>
      </c>
      <c r="C17" s="32">
        <v>10232</v>
      </c>
      <c r="D17" s="32">
        <v>10639</v>
      </c>
      <c r="E17" s="32">
        <v>11103</v>
      </c>
      <c r="F17" s="32">
        <v>11655</v>
      </c>
      <c r="G17" s="2">
        <v>12129</v>
      </c>
      <c r="H17" s="2">
        <v>12640</v>
      </c>
      <c r="I17" s="2">
        <v>12720</v>
      </c>
      <c r="J17" s="2">
        <v>12765</v>
      </c>
      <c r="K17" s="2">
        <v>13020</v>
      </c>
      <c r="L17" s="2">
        <v>12967</v>
      </c>
      <c r="M17" s="2">
        <v>13028</v>
      </c>
      <c r="N17" s="2">
        <v>13040</v>
      </c>
      <c r="O17" s="33">
        <v>71612.03</v>
      </c>
      <c r="P17" s="1">
        <f>S17*S23%+1033.5-449.4+190.7+141.3-623.8-274+1.9</f>
        <v>78108.0366374195</v>
      </c>
      <c r="Q17" s="33">
        <f>101715-483.1</f>
        <v>101231.9</v>
      </c>
      <c r="R17" s="34">
        <f>SUM(P17:P21)</f>
        <v>229296.5</v>
      </c>
      <c r="S17" s="34">
        <f>O17/V22%</f>
        <v>34.00998186755622</v>
      </c>
      <c r="T17" s="30">
        <f>W21*S17%</f>
        <v>71612.03</v>
      </c>
      <c r="U17" s="30">
        <f>D17/U21%</f>
        <v>44.053830227743269</v>
      </c>
      <c r="V17" s="30"/>
      <c r="W17" s="30"/>
      <c r="X17" s="30">
        <f>X21*U17%</f>
        <v>26390.182674948242</v>
      </c>
      <c r="Y17" s="29"/>
      <c r="Z17" s="29"/>
      <c r="AA17" s="29"/>
      <c r="AB17" s="29"/>
      <c r="AC17" s="29"/>
      <c r="AD17" s="1">
        <v>121470.39999999999</v>
      </c>
      <c r="AE17" s="1">
        <f>111257+4919.5+0.5+8341.3+1454.6+1100</f>
        <v>127072.90000000001</v>
      </c>
      <c r="AF17" s="1">
        <v>149295.79999999999</v>
      </c>
      <c r="AG17" s="1">
        <f>96738+3005.8</f>
        <v>99743.8</v>
      </c>
      <c r="AH17" s="1">
        <f>90665.3+273.1+8900.2+667+125.4-6164.1</f>
        <v>94466.9</v>
      </c>
      <c r="AI17" s="1">
        <v>111335</v>
      </c>
      <c r="AJ17" s="1">
        <f>136780.6+1090.6</f>
        <v>137871.20000000001</v>
      </c>
      <c r="AK17" s="1">
        <f>AJ17*1.049+1012.7</f>
        <v>145639.58880000003</v>
      </c>
      <c r="AL17" s="1">
        <f>AK17*0.978+1158</f>
        <v>143593.51784640003</v>
      </c>
    </row>
    <row r="18" spans="1:41" ht="5.85" hidden="1" customHeight="1" x14ac:dyDescent="0.3">
      <c r="A18" s="31" t="s">
        <v>27</v>
      </c>
      <c r="B18" s="35" t="s">
        <v>21</v>
      </c>
      <c r="C18" s="32"/>
      <c r="D18" s="32"/>
      <c r="E18" s="32"/>
      <c r="F18" s="32"/>
      <c r="G18" s="2"/>
      <c r="H18" s="2"/>
      <c r="I18" s="2"/>
      <c r="J18" s="2"/>
      <c r="K18" s="2"/>
      <c r="L18" s="2"/>
      <c r="M18" s="2"/>
      <c r="N18" s="2"/>
      <c r="O18" s="33"/>
      <c r="P18" s="1"/>
      <c r="Q18" s="33"/>
      <c r="R18" s="34"/>
      <c r="S18" s="34"/>
      <c r="T18" s="30"/>
      <c r="U18" s="30"/>
      <c r="V18" s="30"/>
      <c r="W18" s="30"/>
      <c r="X18" s="30"/>
      <c r="Y18" s="29"/>
      <c r="Z18" s="29"/>
      <c r="AA18" s="29"/>
      <c r="AB18" s="29"/>
      <c r="AC18" s="29"/>
      <c r="AD18" s="1"/>
      <c r="AE18" s="1"/>
      <c r="AF18" s="1"/>
      <c r="AG18" s="1">
        <f t="shared" ref="AG18:AG20" si="1">AF18</f>
        <v>0</v>
      </c>
      <c r="AH18" s="1"/>
      <c r="AI18" s="1">
        <f t="shared" ref="AI18:AK20" si="2">AH18</f>
        <v>0</v>
      </c>
      <c r="AJ18" s="1">
        <f t="shared" si="2"/>
        <v>0</v>
      </c>
      <c r="AK18" s="1">
        <f t="shared" si="2"/>
        <v>0</v>
      </c>
      <c r="AL18" s="91"/>
    </row>
    <row r="19" spans="1:41" ht="90.4" customHeight="1" x14ac:dyDescent="0.25">
      <c r="A19" s="31" t="s">
        <v>32</v>
      </c>
      <c r="B19" s="27" t="s">
        <v>22</v>
      </c>
      <c r="C19" s="32">
        <v>11072</v>
      </c>
      <c r="D19" s="32">
        <v>11581</v>
      </c>
      <c r="E19" s="32">
        <v>12042</v>
      </c>
      <c r="F19" s="32">
        <v>12415</v>
      </c>
      <c r="G19" s="2">
        <v>12780</v>
      </c>
      <c r="H19" s="2">
        <v>12996</v>
      </c>
      <c r="I19" s="2">
        <v>13374</v>
      </c>
      <c r="J19" s="2">
        <v>13704</v>
      </c>
      <c r="K19" s="2">
        <v>14665</v>
      </c>
      <c r="L19" s="2">
        <v>15095</v>
      </c>
      <c r="M19" s="2">
        <v>15511</v>
      </c>
      <c r="N19" s="2">
        <v>15804</v>
      </c>
      <c r="O19" s="33">
        <v>114693.01</v>
      </c>
      <c r="P19" s="1">
        <f>S19*S23%+1656.7-720.4+141.3-999.9-439</f>
        <v>124703.2880075446</v>
      </c>
      <c r="Q19" s="33">
        <f>110303-483.1</f>
        <v>109819.9</v>
      </c>
      <c r="R19" s="34"/>
      <c r="S19" s="34">
        <f>O19/V22%</f>
        <v>54.46999883169692</v>
      </c>
      <c r="T19" s="30">
        <f>S19*W21%</f>
        <v>114693.01</v>
      </c>
      <c r="U19" s="30">
        <f>D19/U21%</f>
        <v>47.954451345755693</v>
      </c>
      <c r="V19" s="30">
        <f>D21/U21%</f>
        <v>7.991718426501035</v>
      </c>
      <c r="W19" s="30">
        <f>SUM(U17:V19)</f>
        <v>100</v>
      </c>
      <c r="X19" s="30">
        <f>U19*X21%</f>
        <v>28726.826351966876</v>
      </c>
      <c r="Y19" s="29">
        <f>V19*X21%</f>
        <v>4787.3909730848864</v>
      </c>
      <c r="Z19" s="29"/>
      <c r="AA19" s="36">
        <f>SUM(Q17:Q21)</f>
        <v>229406.8</v>
      </c>
      <c r="AB19" s="29"/>
      <c r="AC19" s="29"/>
      <c r="AD19" s="1">
        <v>129364.8</v>
      </c>
      <c r="AE19" s="1">
        <f>117228+4919.5+8341.3+1507.8-58.5+1100</f>
        <v>133038.1</v>
      </c>
      <c r="AF19" s="1">
        <v>157318.70000000001</v>
      </c>
      <c r="AG19" s="1">
        <f>101937+3167.3-125</f>
        <v>104979.3</v>
      </c>
      <c r="AH19" s="1">
        <f>95537.4-0.2+273.1+8900.2+667+125.4-6164.1</f>
        <v>99338.799999999988</v>
      </c>
      <c r="AI19" s="1">
        <v>116888.5</v>
      </c>
      <c r="AJ19" s="1">
        <v>144131</v>
      </c>
      <c r="AK19" s="1">
        <f>AJ19*1.049-1104+5.76</f>
        <v>150095.179</v>
      </c>
      <c r="AL19" s="1">
        <f>AK19*0.978-38.42-5.64</f>
        <v>146749.02506199997</v>
      </c>
    </row>
    <row r="20" spans="1:41" ht="8.65" hidden="1" customHeight="1" x14ac:dyDescent="0.3">
      <c r="A20" s="31" t="s">
        <v>24</v>
      </c>
      <c r="B20" s="35" t="s">
        <v>21</v>
      </c>
      <c r="C20" s="32"/>
      <c r="D20" s="32"/>
      <c r="E20" s="32"/>
      <c r="F20" s="32"/>
      <c r="G20" s="2"/>
      <c r="H20" s="2"/>
      <c r="I20" s="2"/>
      <c r="J20" s="2"/>
      <c r="K20" s="2"/>
      <c r="L20" s="2"/>
      <c r="M20" s="2"/>
      <c r="N20" s="2"/>
      <c r="O20" s="33"/>
      <c r="P20" s="1"/>
      <c r="Q20" s="33"/>
      <c r="R20" s="34"/>
      <c r="S20" s="34"/>
      <c r="T20" s="30"/>
      <c r="U20" s="30"/>
      <c r="V20" s="30"/>
      <c r="W20" s="30"/>
      <c r="X20" s="30"/>
      <c r="Y20" s="29"/>
      <c r="Z20" s="29"/>
      <c r="AA20" s="29"/>
      <c r="AB20" s="29"/>
      <c r="AC20" s="29"/>
      <c r="AD20" s="1"/>
      <c r="AE20" s="1"/>
      <c r="AF20" s="1"/>
      <c r="AG20" s="1">
        <f t="shared" si="1"/>
        <v>0</v>
      </c>
      <c r="AH20" s="1"/>
      <c r="AI20" s="1">
        <f t="shared" si="2"/>
        <v>0</v>
      </c>
      <c r="AJ20" s="1">
        <f t="shared" si="2"/>
        <v>0</v>
      </c>
      <c r="AK20" s="1">
        <f t="shared" si="2"/>
        <v>0</v>
      </c>
      <c r="AL20" s="91"/>
    </row>
    <row r="21" spans="1:41" ht="94.9" customHeight="1" x14ac:dyDescent="0.25">
      <c r="A21" s="31" t="s">
        <v>25</v>
      </c>
      <c r="B21" s="27" t="s">
        <v>22</v>
      </c>
      <c r="C21" s="32">
        <v>2226</v>
      </c>
      <c r="D21" s="32">
        <v>1930</v>
      </c>
      <c r="E21" s="32">
        <v>2056</v>
      </c>
      <c r="F21" s="32">
        <v>2208</v>
      </c>
      <c r="G21" s="2">
        <v>2271</v>
      </c>
      <c r="H21" s="2">
        <v>2318</v>
      </c>
      <c r="I21" s="2">
        <v>2269</v>
      </c>
      <c r="J21" s="2">
        <v>2146</v>
      </c>
      <c r="K21" s="2">
        <v>2078</v>
      </c>
      <c r="L21" s="2">
        <v>2250</v>
      </c>
      <c r="M21" s="2">
        <v>2406</v>
      </c>
      <c r="N21" s="2">
        <v>2581</v>
      </c>
      <c r="O21" s="33">
        <v>24256.76</v>
      </c>
      <c r="P21" s="1">
        <f>S21*S23%+349.6-152-0.1+141.3+0.1-211-93</f>
        <v>26485.175355035906</v>
      </c>
      <c r="Q21" s="33">
        <f>18838-483</f>
        <v>18355</v>
      </c>
      <c r="R21" s="34"/>
      <c r="S21" s="34">
        <f>O21/V22%</f>
        <v>11.520019300746858</v>
      </c>
      <c r="T21" s="30">
        <f>S21*W21%</f>
        <v>24256.76</v>
      </c>
      <c r="U21" s="30">
        <f>D17+D19+D21</f>
        <v>24150</v>
      </c>
      <c r="V21" s="30">
        <f>P17+P19+P21</f>
        <v>229296.5</v>
      </c>
      <c r="W21" s="30">
        <v>210561.8</v>
      </c>
      <c r="X21" s="30">
        <f>38662.8+21080.8+160.8</f>
        <v>59904.400000000009</v>
      </c>
      <c r="Y21" s="29"/>
      <c r="Z21" s="30">
        <f>SUM(X17:Y19)</f>
        <v>59904.400000000009</v>
      </c>
      <c r="AA21" s="29"/>
      <c r="AB21" s="29"/>
      <c r="AC21" s="29"/>
      <c r="AD21" s="1">
        <v>23434.400000000001</v>
      </c>
      <c r="AE21" s="1">
        <f>20831+4919.5+8341.2+413.4+1100</f>
        <v>35605.1</v>
      </c>
      <c r="AF21" s="1">
        <v>42207.5</v>
      </c>
      <c r="AG21" s="1">
        <f>27348.9+0.4+849.8</f>
        <v>28199.100000000002</v>
      </c>
      <c r="AH21" s="1">
        <f>25632+273.1+8900.1+667+2+125.4-6164.2</f>
        <v>29435.399999999998</v>
      </c>
      <c r="AI21" s="1">
        <v>36230.199999999997</v>
      </c>
      <c r="AJ21" s="1">
        <v>38669.300000000003</v>
      </c>
      <c r="AK21" s="1">
        <f>AJ21*1.049+190.9-40.4-0.36</f>
        <v>40714.235699999997</v>
      </c>
      <c r="AL21" s="1">
        <f>AK21*0.978+63.5+260.83</f>
        <v>40142.852514599996</v>
      </c>
    </row>
    <row r="22" spans="1:41" ht="73.349999999999994" customHeight="1" x14ac:dyDescent="0.25">
      <c r="A22" s="31" t="s">
        <v>33</v>
      </c>
      <c r="B22" s="37" t="s">
        <v>48</v>
      </c>
      <c r="C22" s="32">
        <v>6606</v>
      </c>
      <c r="D22" s="32">
        <f>5975+296</f>
        <v>6271</v>
      </c>
      <c r="E22" s="32">
        <v>1292004</v>
      </c>
      <c r="F22" s="32">
        <v>1292004</v>
      </c>
      <c r="G22" s="2">
        <v>1323352</v>
      </c>
      <c r="H22" s="2">
        <f t="shared" ref="H22:M23" si="3">G22</f>
        <v>1323352</v>
      </c>
      <c r="I22" s="2">
        <v>1792902</v>
      </c>
      <c r="J22" s="2">
        <f>I22-58045</f>
        <v>1734857</v>
      </c>
      <c r="K22" s="2">
        <v>1311705</v>
      </c>
      <c r="L22" s="2">
        <v>1531335</v>
      </c>
      <c r="M22" s="2">
        <f t="shared" si="3"/>
        <v>1531335</v>
      </c>
      <c r="N22" s="2">
        <v>1531335</v>
      </c>
      <c r="O22" s="33">
        <v>85039.7</v>
      </c>
      <c r="P22" s="33">
        <f>88740+1253.7-579.4-238</f>
        <v>89176.3</v>
      </c>
      <c r="Q22" s="33">
        <f>94414-792</f>
        <v>93622</v>
      </c>
      <c r="R22" s="34">
        <f>SUM(P22:P23)</f>
        <v>135009.1</v>
      </c>
      <c r="S22" s="34"/>
      <c r="T22" s="30">
        <f>SUM(T17:T21)</f>
        <v>210561.8</v>
      </c>
      <c r="U22" s="30">
        <f>D22+D23</f>
        <v>7595</v>
      </c>
      <c r="V22" s="30">
        <f>SUM(O17:O21)</f>
        <v>210561.8</v>
      </c>
      <c r="W22" s="30">
        <f>V22+U27</f>
        <v>210561.8</v>
      </c>
      <c r="X22" s="30"/>
      <c r="Y22" s="29"/>
      <c r="Z22" s="29"/>
      <c r="AA22" s="29"/>
      <c r="AB22" s="29"/>
      <c r="AC22" s="36">
        <f>SUM(Q22:Q23)</f>
        <v>143892</v>
      </c>
      <c r="AD22" s="1">
        <v>109088.3</v>
      </c>
      <c r="AE22" s="1">
        <f>128886.5+471.8-19.3</f>
        <v>129339</v>
      </c>
      <c r="AF22" s="1">
        <f>134528.6+9630.1+694.5</f>
        <v>144853.20000000001</v>
      </c>
      <c r="AG22" s="1">
        <f>151630.8+16221.1+13264.8-15159.3</f>
        <v>165957.4</v>
      </c>
      <c r="AH22" s="1">
        <f>178502.7+41172.9+57-1911.4+10003.3+80-29084-5247.5</f>
        <v>193573</v>
      </c>
      <c r="AI22" s="1">
        <f>128797.1+44985.9</f>
        <v>173783</v>
      </c>
      <c r="AJ22" s="1">
        <f>145023.9+45971.4</f>
        <v>190995.3</v>
      </c>
      <c r="AK22" s="1">
        <f>153389+61407.4-0.36-0.72</f>
        <v>214795.32</v>
      </c>
      <c r="AL22" s="1">
        <f>157694+38339.4</f>
        <v>196033.4</v>
      </c>
      <c r="AO22" s="3">
        <v>67.099999999999994</v>
      </c>
    </row>
    <row r="23" spans="1:41" ht="106.15" customHeight="1" x14ac:dyDescent="0.25">
      <c r="A23" s="31" t="s">
        <v>34</v>
      </c>
      <c r="B23" s="37" t="s">
        <v>48</v>
      </c>
      <c r="C23" s="32">
        <v>1399</v>
      </c>
      <c r="D23" s="32">
        <f>400+388+127+409</f>
        <v>1324</v>
      </c>
      <c r="E23" s="32">
        <v>697715</v>
      </c>
      <c r="F23" s="32">
        <v>697715</v>
      </c>
      <c r="G23" s="2">
        <v>645798</v>
      </c>
      <c r="H23" s="2">
        <f t="shared" si="3"/>
        <v>645798</v>
      </c>
      <c r="I23" s="2">
        <v>679710</v>
      </c>
      <c r="J23" s="2">
        <f t="shared" si="3"/>
        <v>679710</v>
      </c>
      <c r="K23" s="2">
        <v>0</v>
      </c>
      <c r="L23" s="2">
        <v>0</v>
      </c>
      <c r="M23" s="2">
        <f t="shared" si="3"/>
        <v>0</v>
      </c>
      <c r="N23" s="2">
        <v>0</v>
      </c>
      <c r="O23" s="33">
        <v>44344.1</v>
      </c>
      <c r="P23" s="33">
        <f>12549+7197.3+7510.9+8115.1+4739+202.4+2.3+6611.4+421.1-109.1-978.3-36-392.3</f>
        <v>45832.799999999996</v>
      </c>
      <c r="Q23" s="33">
        <f>51062-792</f>
        <v>50270</v>
      </c>
      <c r="R23" s="34"/>
      <c r="S23" s="34">
        <v>229602.7</v>
      </c>
      <c r="T23" s="29"/>
      <c r="U23" s="30">
        <f>P22+P23</f>
        <v>135009.1</v>
      </c>
      <c r="V23" s="30">
        <f>U23+V21</f>
        <v>364305.6</v>
      </c>
      <c r="W23" s="30">
        <v>997353.2</v>
      </c>
      <c r="X23" s="30">
        <f>W23-V23</f>
        <v>633047.6</v>
      </c>
      <c r="Y23" s="29"/>
      <c r="Z23" s="29">
        <f>P22/U23%</f>
        <v>66.052066119987458</v>
      </c>
      <c r="AA23" s="29">
        <f>P23/U23%</f>
        <v>33.947933880012528</v>
      </c>
      <c r="AB23" s="29">
        <f>SUM(Z23:AA23)</f>
        <v>99.999999999999986</v>
      </c>
      <c r="AC23" s="30">
        <v>148517.6</v>
      </c>
      <c r="AD23" s="1">
        <v>57968.2</v>
      </c>
      <c r="AE23" s="1">
        <f>62949.9+237.2</f>
        <v>63187.1</v>
      </c>
      <c r="AF23" s="1">
        <f>73077.3+387.2</f>
        <v>73464.5</v>
      </c>
      <c r="AG23" s="1">
        <f>82367.3+6503.9</f>
        <v>88871.2</v>
      </c>
      <c r="AH23" s="1">
        <v>87919.2</v>
      </c>
      <c r="AI23" s="1">
        <v>0</v>
      </c>
      <c r="AJ23" s="1">
        <v>0</v>
      </c>
      <c r="AK23" s="1">
        <v>0</v>
      </c>
      <c r="AL23" s="1">
        <v>0</v>
      </c>
      <c r="AO23" s="3">
        <v>32.9</v>
      </c>
    </row>
    <row r="24" spans="1:41" ht="113.85" customHeight="1" x14ac:dyDescent="0.25">
      <c r="A24" s="27" t="s">
        <v>77</v>
      </c>
      <c r="B24" s="27" t="s">
        <v>22</v>
      </c>
      <c r="C24" s="32">
        <v>0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1742</v>
      </c>
      <c r="L24" s="32">
        <v>1734</v>
      </c>
      <c r="M24" s="32">
        <v>1734</v>
      </c>
      <c r="N24" s="32">
        <v>1734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33">
        <v>0</v>
      </c>
      <c r="Y24" s="33">
        <v>0</v>
      </c>
      <c r="Z24" s="33">
        <v>0</v>
      </c>
      <c r="AA24" s="33">
        <v>0</v>
      </c>
      <c r="AB24" s="33">
        <v>0</v>
      </c>
      <c r="AC24" s="33">
        <v>0</v>
      </c>
      <c r="AD24" s="33">
        <v>0</v>
      </c>
      <c r="AE24" s="33">
        <v>0</v>
      </c>
      <c r="AF24" s="33">
        <v>0</v>
      </c>
      <c r="AG24" s="33">
        <v>0</v>
      </c>
      <c r="AH24" s="33">
        <v>0</v>
      </c>
      <c r="AI24" s="1">
        <v>115310.3</v>
      </c>
      <c r="AJ24" s="1">
        <f>107462.8-AJ25</f>
        <v>105833.40000000001</v>
      </c>
      <c r="AK24" s="1">
        <f>113991.7-AK25</f>
        <v>108991.7</v>
      </c>
      <c r="AL24" s="1">
        <f>117185.6-AL25</f>
        <v>112185.60000000001</v>
      </c>
    </row>
    <row r="25" spans="1:41" ht="77.25" customHeight="1" x14ac:dyDescent="0.25">
      <c r="A25" s="27" t="s">
        <v>78</v>
      </c>
      <c r="B25" s="27" t="s">
        <v>76</v>
      </c>
      <c r="C25" s="32">
        <v>0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98</v>
      </c>
      <c r="M25" s="32">
        <v>98</v>
      </c>
      <c r="N25" s="32">
        <v>98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1629.4</v>
      </c>
      <c r="AK25" s="33">
        <v>5000</v>
      </c>
      <c r="AL25" s="33">
        <v>5000</v>
      </c>
    </row>
    <row r="26" spans="1:41" ht="22.7" hidden="1" customHeight="1" x14ac:dyDescent="0.3">
      <c r="A26" s="39" t="s">
        <v>26</v>
      </c>
      <c r="B26" s="39" t="s">
        <v>23</v>
      </c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1"/>
      <c r="P26" s="41"/>
      <c r="Q26" s="41"/>
      <c r="R26" s="34"/>
      <c r="S26" s="34"/>
      <c r="T26" s="29"/>
      <c r="U26" s="30"/>
      <c r="V26" s="30"/>
      <c r="W26" s="30"/>
      <c r="X26" s="30"/>
      <c r="Y26" s="29"/>
      <c r="Z26" s="29"/>
      <c r="AA26" s="29"/>
      <c r="AB26" s="29"/>
      <c r="AC26" s="29"/>
      <c r="AD26" s="42"/>
      <c r="AE26" s="42"/>
      <c r="AF26" s="42"/>
      <c r="AG26" s="42"/>
      <c r="AH26" s="42"/>
      <c r="AI26" s="42"/>
      <c r="AJ26" s="42"/>
      <c r="AK26" s="42"/>
      <c r="AL26" s="92"/>
    </row>
    <row r="27" spans="1:41" ht="26.85" customHeight="1" x14ac:dyDescent="0.25">
      <c r="A27" s="133" t="s">
        <v>63</v>
      </c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6"/>
    </row>
    <row r="28" spans="1:41" ht="24.2" customHeight="1" x14ac:dyDescent="0.25">
      <c r="A28" s="139" t="s">
        <v>65</v>
      </c>
      <c r="B28" s="140"/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1"/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2"/>
    </row>
    <row r="29" spans="1:41" ht="190.5" customHeight="1" x14ac:dyDescent="0.25">
      <c r="A29" s="43" t="s">
        <v>61</v>
      </c>
      <c r="B29" s="43" t="s">
        <v>35</v>
      </c>
      <c r="C29" s="40">
        <v>863</v>
      </c>
      <c r="D29" s="40">
        <v>863</v>
      </c>
      <c r="E29" s="40">
        <v>863</v>
      </c>
      <c r="F29" s="40">
        <v>863</v>
      </c>
      <c r="G29" s="40">
        <v>793</v>
      </c>
      <c r="H29" s="40">
        <v>793</v>
      </c>
      <c r="I29" s="40">
        <v>793</v>
      </c>
      <c r="J29" s="40">
        <v>685</v>
      </c>
      <c r="K29" s="40">
        <v>685</v>
      </c>
      <c r="L29" s="40">
        <v>685</v>
      </c>
      <c r="M29" s="40">
        <v>685</v>
      </c>
      <c r="N29" s="40">
        <v>685</v>
      </c>
      <c r="O29" s="41">
        <v>4461.8999999999996</v>
      </c>
      <c r="P29" s="41">
        <f>4612.1-1.5</f>
        <v>4610.6000000000004</v>
      </c>
      <c r="Q29" s="44">
        <f>4612.1-3.8</f>
        <v>4608.3</v>
      </c>
      <c r="R29" s="28"/>
      <c r="S29" s="28"/>
      <c r="T29" s="29"/>
      <c r="U29" s="30">
        <f>O17+O19+O21+O22+O23</f>
        <v>339945.6</v>
      </c>
      <c r="V29" s="30">
        <f>P17+P19+P21+P22+P23</f>
        <v>364305.6</v>
      </c>
      <c r="W29" s="30"/>
      <c r="X29" s="30"/>
      <c r="Y29" s="29"/>
      <c r="Z29" s="29"/>
      <c r="AA29" s="29"/>
      <c r="AB29" s="29"/>
      <c r="AC29" s="29"/>
      <c r="AD29" s="44">
        <v>3485.5</v>
      </c>
      <c r="AE29" s="44">
        <v>4945.5</v>
      </c>
      <c r="AF29" s="44">
        <v>3883.5</v>
      </c>
      <c r="AG29" s="1">
        <f>3961.1+138.4-235.3</f>
        <v>3864.2</v>
      </c>
      <c r="AH29" s="1">
        <f>3992.2+19.8+202.4-1003.1-4.7</f>
        <v>3206.6</v>
      </c>
      <c r="AI29" s="1">
        <v>4128.1000000000004</v>
      </c>
      <c r="AJ29" s="1">
        <v>6790.6</v>
      </c>
      <c r="AK29" s="1">
        <f>AJ29*1.042012</f>
        <v>7075.8866871999999</v>
      </c>
      <c r="AL29" s="1">
        <f>AK29*1.03419</f>
        <v>7317.8112530353674</v>
      </c>
    </row>
    <row r="30" spans="1:41" ht="53.25" customHeight="1" x14ac:dyDescent="0.25">
      <c r="A30" s="27" t="s">
        <v>52</v>
      </c>
      <c r="B30" s="27" t="s">
        <v>22</v>
      </c>
      <c r="C30" s="32">
        <v>0</v>
      </c>
      <c r="D30" s="32">
        <v>0</v>
      </c>
      <c r="E30" s="32">
        <v>0</v>
      </c>
      <c r="F30" s="32">
        <v>500</v>
      </c>
      <c r="G30" s="32">
        <v>0</v>
      </c>
      <c r="H30" s="32">
        <v>550</v>
      </c>
      <c r="I30" s="32">
        <v>550</v>
      </c>
      <c r="J30" s="32">
        <v>415</v>
      </c>
      <c r="K30" s="32">
        <v>415</v>
      </c>
      <c r="L30" s="32">
        <v>415</v>
      </c>
      <c r="M30" s="32">
        <v>415</v>
      </c>
      <c r="N30" s="32">
        <v>415</v>
      </c>
      <c r="O30" s="33">
        <v>0</v>
      </c>
      <c r="P30" s="33">
        <v>0</v>
      </c>
      <c r="Q30" s="1">
        <v>0</v>
      </c>
      <c r="R30" s="1"/>
      <c r="S30" s="1"/>
      <c r="T30" s="38"/>
      <c r="U30" s="45">
        <f>O18+O20+O22+O23+O24</f>
        <v>129383.79999999999</v>
      </c>
      <c r="V30" s="45">
        <f>P18+P20+P22+P23+P24</f>
        <v>135009.1</v>
      </c>
      <c r="W30" s="45"/>
      <c r="X30" s="45"/>
      <c r="Y30" s="38"/>
      <c r="Z30" s="38"/>
      <c r="AA30" s="38"/>
      <c r="AB30" s="38"/>
      <c r="AC30" s="38"/>
      <c r="AD30" s="1">
        <v>1305.2</v>
      </c>
      <c r="AE30" s="1">
        <v>0</v>
      </c>
      <c r="AF30" s="1">
        <v>2277.9</v>
      </c>
      <c r="AG30" s="1">
        <f>2323.4-235.4</f>
        <v>2088</v>
      </c>
      <c r="AH30" s="1">
        <f>2341.6-552.2</f>
        <v>1789.3999999999999</v>
      </c>
      <c r="AI30" s="1">
        <v>2079.6</v>
      </c>
      <c r="AJ30" s="1">
        <f>2093.2+946.6</f>
        <v>3039.7999999999997</v>
      </c>
      <c r="AK30" s="1">
        <f>AJ30*1.042012</f>
        <v>3167.5080775999995</v>
      </c>
      <c r="AL30" s="1">
        <f>AK30*1.03419</f>
        <v>3275.8051787731433</v>
      </c>
    </row>
    <row r="31" spans="1:41" ht="15" hidden="1" customHeight="1" x14ac:dyDescent="0.3">
      <c r="A31" s="46"/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8"/>
      <c r="P31" s="48"/>
      <c r="Q31" s="49"/>
      <c r="R31" s="50"/>
      <c r="S31" s="50"/>
      <c r="U31" s="51"/>
      <c r="V31" s="51"/>
      <c r="W31" s="51"/>
      <c r="X31" s="51"/>
    </row>
    <row r="32" spans="1:41" ht="15" hidden="1" customHeight="1" x14ac:dyDescent="0.3">
      <c r="A32" s="52"/>
      <c r="B32" s="52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4"/>
      <c r="P32" s="54"/>
      <c r="Q32" s="55"/>
      <c r="R32" s="50"/>
      <c r="S32" s="50"/>
      <c r="U32" s="51"/>
      <c r="V32" s="51"/>
      <c r="W32" s="51"/>
      <c r="X32" s="51"/>
    </row>
    <row r="33" spans="1:38" ht="15" hidden="1" customHeight="1" x14ac:dyDescent="0.3">
      <c r="A33" s="52"/>
      <c r="B33" s="52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4"/>
      <c r="P33" s="54"/>
      <c r="Q33" s="55"/>
      <c r="R33" s="50"/>
      <c r="S33" s="50"/>
      <c r="U33" s="51"/>
      <c r="V33" s="51"/>
      <c r="W33" s="51"/>
      <c r="X33" s="51"/>
    </row>
    <row r="34" spans="1:38" ht="68.099999999999994" hidden="1" x14ac:dyDescent="0.3">
      <c r="A34" s="56" t="s">
        <v>5</v>
      </c>
      <c r="B34" s="55" t="s">
        <v>8</v>
      </c>
      <c r="C34" s="57">
        <v>10232</v>
      </c>
      <c r="D34" s="57">
        <v>10125</v>
      </c>
      <c r="E34" s="57">
        <v>10108</v>
      </c>
      <c r="F34" s="57"/>
      <c r="G34" s="57"/>
      <c r="H34" s="57"/>
      <c r="I34" s="57"/>
      <c r="J34" s="57"/>
      <c r="K34" s="57"/>
      <c r="L34" s="57"/>
      <c r="M34" s="57"/>
      <c r="N34" s="57"/>
      <c r="O34" s="55">
        <f>U39*34.01%</f>
        <v>74458.739189999993</v>
      </c>
      <c r="P34" s="55">
        <f>V39*34.01%</f>
        <v>84125.979659999997</v>
      </c>
      <c r="Q34" s="55">
        <f>W39*34.01%</f>
        <v>78761.854439999996</v>
      </c>
      <c r="R34" s="50"/>
      <c r="S34" s="50"/>
      <c r="U34" s="51">
        <f>O34/U37%</f>
        <v>34.01</v>
      </c>
      <c r="V34" s="51">
        <v>34.01</v>
      </c>
      <c r="W34" s="51"/>
      <c r="X34" s="51"/>
    </row>
    <row r="35" spans="1:38" ht="68.099999999999994" hidden="1" x14ac:dyDescent="0.3">
      <c r="A35" s="56" t="s">
        <v>6</v>
      </c>
      <c r="B35" s="55" t="s">
        <v>8</v>
      </c>
      <c r="C35" s="57">
        <v>11072</v>
      </c>
      <c r="D35" s="57">
        <v>11794</v>
      </c>
      <c r="E35" s="57">
        <v>12256</v>
      </c>
      <c r="F35" s="57"/>
      <c r="G35" s="57"/>
      <c r="H35" s="57"/>
      <c r="I35" s="57"/>
      <c r="J35" s="57"/>
      <c r="K35" s="57"/>
      <c r="L35" s="57"/>
      <c r="M35" s="57"/>
      <c r="N35" s="57"/>
      <c r="O35" s="55">
        <f>U39*54.47%</f>
        <v>119252.20592999998</v>
      </c>
      <c r="P35" s="55">
        <f>V39*54.47%</f>
        <v>134735.14001999999</v>
      </c>
      <c r="Q35" s="55">
        <f>W39*54.47%</f>
        <v>126144.02267999999</v>
      </c>
      <c r="R35" s="50"/>
      <c r="S35" s="50"/>
      <c r="U35" s="51">
        <f>O35/U37%</f>
        <v>54.469999999999992</v>
      </c>
      <c r="V35" s="51">
        <v>54.47</v>
      </c>
      <c r="W35" s="51"/>
      <c r="X35" s="51">
        <f>C34+C35+C36</f>
        <v>23530</v>
      </c>
    </row>
    <row r="36" spans="1:38" ht="68.099999999999994" hidden="1" x14ac:dyDescent="0.3">
      <c r="A36" s="56" t="s">
        <v>7</v>
      </c>
      <c r="B36" s="55" t="s">
        <v>8</v>
      </c>
      <c r="C36" s="57">
        <v>2226</v>
      </c>
      <c r="D36" s="57">
        <v>2412</v>
      </c>
      <c r="E36" s="57">
        <v>2490</v>
      </c>
      <c r="F36" s="57"/>
      <c r="G36" s="57"/>
      <c r="H36" s="57"/>
      <c r="I36" s="57"/>
      <c r="J36" s="57"/>
      <c r="K36" s="57"/>
      <c r="L36" s="57"/>
      <c r="M36" s="57"/>
      <c r="N36" s="57"/>
      <c r="O36" s="55">
        <f>U39*11.52%</f>
        <v>25220.954879999998</v>
      </c>
      <c r="P36" s="55">
        <f>V39*11.52%</f>
        <v>28495.480319999999</v>
      </c>
      <c r="Q36" s="55">
        <f>W39*11.52%</f>
        <v>26678.522879999997</v>
      </c>
      <c r="R36" s="50"/>
      <c r="S36" s="50"/>
      <c r="U36" s="51">
        <f>O36/U37%</f>
        <v>11.52</v>
      </c>
      <c r="V36" s="51">
        <v>11.52</v>
      </c>
      <c r="W36" s="51"/>
      <c r="X36" s="51">
        <f>SUM(O34:O36)</f>
        <v>218931.9</v>
      </c>
    </row>
    <row r="37" spans="1:38" ht="54.95" hidden="1" customHeight="1" x14ac:dyDescent="0.3">
      <c r="A37" s="56" t="s">
        <v>9</v>
      </c>
      <c r="B37" s="58" t="s">
        <v>11</v>
      </c>
      <c r="C37" s="57">
        <v>8005</v>
      </c>
      <c r="D37" s="57">
        <v>8120</v>
      </c>
      <c r="E37" s="57">
        <v>8190</v>
      </c>
      <c r="F37" s="57"/>
      <c r="G37" s="57"/>
      <c r="H37" s="57"/>
      <c r="I37" s="57"/>
      <c r="J37" s="57"/>
      <c r="K37" s="57"/>
      <c r="L37" s="57"/>
      <c r="M37" s="57"/>
      <c r="N37" s="57"/>
      <c r="O37" s="55">
        <f>133413.4-1740.4+444.8-119.7</f>
        <v>131998.09999999998</v>
      </c>
      <c r="P37" s="55">
        <v>137926.9</v>
      </c>
      <c r="Q37" s="55">
        <v>137878.9</v>
      </c>
      <c r="R37" s="50"/>
      <c r="S37" s="50"/>
      <c r="U37" s="51">
        <f>O34+O35+O36</f>
        <v>218931.9</v>
      </c>
      <c r="V37" s="51">
        <f>P34+P35+P36</f>
        <v>247356.6</v>
      </c>
      <c r="W37" s="51">
        <f>Q34+Q35+Q36</f>
        <v>231584.4</v>
      </c>
      <c r="X37" s="51"/>
    </row>
    <row r="38" spans="1:38" ht="27.95" hidden="1" customHeight="1" x14ac:dyDescent="0.3">
      <c r="A38" s="56"/>
      <c r="B38" s="58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5">
        <f>SUM(O14:O37)</f>
        <v>1299120.1000000001</v>
      </c>
      <c r="P38" s="55">
        <f>SUM(P14:P37)</f>
        <v>1413544.3</v>
      </c>
      <c r="Q38" s="55">
        <f>SUM(Q14:Q37)</f>
        <v>1418316.4999999998</v>
      </c>
      <c r="R38" s="50"/>
      <c r="S38" s="50"/>
      <c r="U38" s="51"/>
      <c r="V38" s="51"/>
      <c r="W38" s="51"/>
      <c r="X38" s="51"/>
    </row>
    <row r="39" spans="1:38" ht="17.100000000000001" hidden="1" x14ac:dyDescent="0.3">
      <c r="A39" s="122" t="s">
        <v>18</v>
      </c>
      <c r="B39" s="123"/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4"/>
      <c r="R39" s="59"/>
      <c r="S39" s="59"/>
      <c r="U39" s="60">
        <f>70708.3+284359.6-132117.8+119.7-4137.9</f>
        <v>218931.9</v>
      </c>
      <c r="V39" s="60">
        <v>247356.6</v>
      </c>
      <c r="W39" s="60">
        <v>231584.4</v>
      </c>
      <c r="X39" s="51"/>
      <c r="AA39" s="51">
        <f>U39+O37</f>
        <v>350930</v>
      </c>
    </row>
    <row r="40" spans="1:38" ht="17.100000000000001" hidden="1" x14ac:dyDescent="0.3">
      <c r="A40" s="122" t="s">
        <v>17</v>
      </c>
      <c r="B40" s="123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  <c r="Q40" s="124"/>
      <c r="R40" s="59"/>
      <c r="S40" s="59"/>
      <c r="U40" s="51">
        <f>U37-U39</f>
        <v>0</v>
      </c>
      <c r="V40" s="51">
        <f>V37-V39</f>
        <v>0</v>
      </c>
      <c r="W40" s="51">
        <f>W37-W39</f>
        <v>0</v>
      </c>
      <c r="X40" s="51"/>
    </row>
    <row r="41" spans="1:38" ht="51" hidden="1" x14ac:dyDescent="0.3">
      <c r="A41" s="56" t="s">
        <v>12</v>
      </c>
      <c r="B41" s="61"/>
      <c r="C41" s="62">
        <v>1200</v>
      </c>
      <c r="D41" s="62">
        <v>1300</v>
      </c>
      <c r="E41" s="62">
        <v>1400</v>
      </c>
      <c r="F41" s="62"/>
      <c r="G41" s="62"/>
      <c r="H41" s="62"/>
      <c r="I41" s="62"/>
      <c r="J41" s="62"/>
      <c r="K41" s="62"/>
      <c r="L41" s="62"/>
      <c r="M41" s="62"/>
      <c r="N41" s="62"/>
      <c r="O41" s="63">
        <f>814+1857.4</f>
        <v>2671.4</v>
      </c>
      <c r="P41" s="63">
        <v>1000</v>
      </c>
      <c r="Q41" s="63">
        <v>814</v>
      </c>
      <c r="R41" s="64"/>
      <c r="S41" s="64"/>
      <c r="U41" s="51">
        <f>U40+U14</f>
        <v>39882.6</v>
      </c>
      <c r="V41" s="51">
        <f>V40+V14</f>
        <v>43645</v>
      </c>
      <c r="W41" s="51">
        <f>W40+W14</f>
        <v>46656</v>
      </c>
      <c r="X41" s="51"/>
    </row>
    <row r="42" spans="1:38" ht="35.25" hidden="1" customHeight="1" x14ac:dyDescent="0.3">
      <c r="A42" s="108" t="s">
        <v>19</v>
      </c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09"/>
      <c r="N42" s="109"/>
      <c r="O42" s="109"/>
      <c r="P42" s="109"/>
      <c r="Q42" s="109"/>
      <c r="R42" s="65"/>
      <c r="S42" s="65"/>
      <c r="U42" s="51">
        <v>1064370.8</v>
      </c>
      <c r="V42" s="51">
        <v>1110086.1000000001</v>
      </c>
      <c r="W42" s="51">
        <v>1176839.7</v>
      </c>
      <c r="X42" s="51"/>
    </row>
    <row r="43" spans="1:38" ht="20.25" hidden="1" customHeight="1" x14ac:dyDescent="0.3">
      <c r="A43" s="105" t="s">
        <v>20</v>
      </c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7"/>
      <c r="R43" s="66"/>
      <c r="S43" s="66"/>
      <c r="U43" s="51">
        <f>U34+U35+U36</f>
        <v>99.999999999999986</v>
      </c>
      <c r="V43" s="51"/>
      <c r="W43" s="51"/>
      <c r="X43" s="51"/>
      <c r="AA43" s="51">
        <f>U39+O37</f>
        <v>350930</v>
      </c>
    </row>
    <row r="44" spans="1:38" ht="187.15" hidden="1" x14ac:dyDescent="0.3">
      <c r="A44" s="56" t="s">
        <v>13</v>
      </c>
      <c r="B44" s="58" t="s">
        <v>14</v>
      </c>
      <c r="C44" s="57">
        <v>1970</v>
      </c>
      <c r="D44" s="57">
        <v>1992</v>
      </c>
      <c r="E44" s="57">
        <v>1970</v>
      </c>
      <c r="F44" s="57"/>
      <c r="G44" s="57"/>
      <c r="H44" s="57"/>
      <c r="I44" s="57"/>
      <c r="J44" s="57"/>
      <c r="K44" s="57"/>
      <c r="L44" s="57"/>
      <c r="M44" s="57"/>
      <c r="N44" s="57"/>
      <c r="O44" s="55">
        <f>4499.2-37.3</f>
        <v>4461.8999999999996</v>
      </c>
      <c r="P44" s="55">
        <v>4659.5</v>
      </c>
      <c r="Q44" s="55">
        <v>4886.5</v>
      </c>
      <c r="R44" s="50"/>
      <c r="S44" s="50"/>
      <c r="U44" s="51">
        <f>U42-O38</f>
        <v>-234749.30000000005</v>
      </c>
      <c r="V44" s="51">
        <f>V42-P38</f>
        <v>-303458.19999999995</v>
      </c>
      <c r="W44" s="51">
        <f>W42-Q38</f>
        <v>-241476.79999999981</v>
      </c>
      <c r="X44" s="51"/>
      <c r="Y44" s="67">
        <f>O14+O34+O35+O36+O37</f>
        <v>660856</v>
      </c>
      <c r="AA44" s="51">
        <f>18584.3+287203.8+70708.3+284359.6</f>
        <v>660856</v>
      </c>
    </row>
    <row r="45" spans="1:38" ht="32.25" customHeight="1" x14ac:dyDescent="0.25">
      <c r="A45" s="68"/>
      <c r="B45" s="69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50"/>
      <c r="P45" s="50"/>
      <c r="Q45" s="50"/>
      <c r="R45" s="50"/>
      <c r="S45" s="50"/>
      <c r="U45" s="51"/>
      <c r="V45" s="51"/>
      <c r="W45" s="51"/>
      <c r="X45" s="51"/>
      <c r="Y45" s="67"/>
      <c r="AA45" s="51"/>
    </row>
    <row r="46" spans="1:38" ht="45" customHeight="1" x14ac:dyDescent="0.3">
      <c r="A46" s="110" t="s">
        <v>37</v>
      </c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  <c r="Q46" s="111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12"/>
      <c r="AK46" s="112"/>
      <c r="AL46" s="113"/>
    </row>
    <row r="47" spans="1:38" ht="10.5" customHeight="1" x14ac:dyDescent="0.3">
      <c r="A47" s="71"/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</row>
    <row r="48" spans="1:38" ht="34.5" customHeight="1" x14ac:dyDescent="0.3">
      <c r="A48" s="110" t="s">
        <v>49</v>
      </c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2"/>
      <c r="S48" s="112"/>
      <c r="T48" s="112"/>
      <c r="U48" s="112"/>
      <c r="V48" s="112"/>
      <c r="W48" s="112"/>
      <c r="X48" s="112"/>
      <c r="Y48" s="112"/>
      <c r="Z48" s="112"/>
      <c r="AA48" s="112"/>
      <c r="AB48" s="112"/>
      <c r="AC48" s="112"/>
      <c r="AD48" s="112"/>
      <c r="AE48" s="112"/>
      <c r="AF48" s="112"/>
      <c r="AG48" s="112"/>
      <c r="AH48" s="112"/>
      <c r="AI48" s="112"/>
      <c r="AJ48" s="112"/>
      <c r="AK48" s="112"/>
      <c r="AL48" s="113"/>
    </row>
    <row r="49" spans="1:49" ht="9" customHeight="1" x14ac:dyDescent="0.3">
      <c r="A49" s="72"/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88"/>
      <c r="O49" s="73"/>
      <c r="P49" s="73"/>
      <c r="Q49" s="73"/>
      <c r="R49" s="74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</row>
    <row r="50" spans="1:49" ht="39" customHeight="1" x14ac:dyDescent="0.3">
      <c r="A50" s="110" t="s">
        <v>50</v>
      </c>
      <c r="B50" s="111"/>
      <c r="C50" s="111"/>
      <c r="D50" s="111"/>
      <c r="E50" s="111"/>
      <c r="F50" s="111"/>
      <c r="G50" s="111"/>
      <c r="H50" s="111"/>
      <c r="I50" s="111"/>
      <c r="J50" s="111"/>
      <c r="K50" s="111"/>
      <c r="L50" s="111"/>
      <c r="M50" s="111"/>
      <c r="N50" s="111"/>
      <c r="O50" s="111"/>
      <c r="P50" s="111"/>
      <c r="Q50" s="111"/>
      <c r="R50" s="112"/>
      <c r="S50" s="112"/>
      <c r="T50" s="112"/>
      <c r="U50" s="112"/>
      <c r="V50" s="112"/>
      <c r="W50" s="112"/>
      <c r="X50" s="112"/>
      <c r="Y50" s="112"/>
      <c r="Z50" s="112"/>
      <c r="AA50" s="112"/>
      <c r="AB50" s="112"/>
      <c r="AC50" s="112"/>
      <c r="AD50" s="112"/>
      <c r="AE50" s="112"/>
      <c r="AF50" s="112"/>
      <c r="AG50" s="112"/>
      <c r="AH50" s="112"/>
      <c r="AI50" s="112"/>
      <c r="AJ50" s="112"/>
      <c r="AK50" s="112"/>
      <c r="AL50" s="113"/>
    </row>
    <row r="51" spans="1:49" ht="12.75" customHeight="1" x14ac:dyDescent="0.3">
      <c r="A51" s="72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88"/>
      <c r="O51" s="73"/>
      <c r="P51" s="73"/>
      <c r="Q51" s="73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</row>
    <row r="52" spans="1:49" ht="17.649999999999999" hidden="1" x14ac:dyDescent="0.3">
      <c r="A52" s="71"/>
      <c r="B52" s="71" t="s">
        <v>43</v>
      </c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5">
        <f t="shared" ref="O52:AL52" si="4">SUM(O15:O16)</f>
        <v>293856.59999999998</v>
      </c>
      <c r="P52" s="71">
        <f t="shared" si="4"/>
        <v>311373.59999999998</v>
      </c>
      <c r="Q52" s="76">
        <f t="shared" si="4"/>
        <v>322886.69999999995</v>
      </c>
      <c r="R52" s="76">
        <f t="shared" si="4"/>
        <v>311373.59999999998</v>
      </c>
      <c r="S52" s="76">
        <f t="shared" si="4"/>
        <v>99.999999999999986</v>
      </c>
      <c r="T52" s="76">
        <f t="shared" si="4"/>
        <v>0</v>
      </c>
      <c r="U52" s="76">
        <f t="shared" si="4"/>
        <v>293856.59999999998</v>
      </c>
      <c r="V52" s="76">
        <f t="shared" si="4"/>
        <v>311373.59999999998</v>
      </c>
      <c r="W52" s="76">
        <f t="shared" si="4"/>
        <v>352085.7</v>
      </c>
      <c r="X52" s="76">
        <f t="shared" si="4"/>
        <v>354506.8</v>
      </c>
      <c r="Y52" s="76">
        <f t="shared" si="4"/>
        <v>43133.200000000012</v>
      </c>
      <c r="Z52" s="76">
        <f t="shared" si="4"/>
        <v>0</v>
      </c>
      <c r="AA52" s="76">
        <f t="shared" si="4"/>
        <v>0</v>
      </c>
      <c r="AB52" s="76">
        <f t="shared" si="4"/>
        <v>0</v>
      </c>
      <c r="AC52" s="76">
        <f t="shared" si="4"/>
        <v>0</v>
      </c>
      <c r="AD52" s="76">
        <f t="shared" si="4"/>
        <v>438250</v>
      </c>
      <c r="AE52" s="76">
        <f t="shared" si="4"/>
        <v>491326.69999999995</v>
      </c>
      <c r="AF52" s="76">
        <f t="shared" si="4"/>
        <v>605554</v>
      </c>
      <c r="AG52" s="76">
        <f t="shared" si="4"/>
        <v>580373.9</v>
      </c>
      <c r="AH52" s="76">
        <f t="shared" si="4"/>
        <v>663305.9</v>
      </c>
      <c r="AI52" s="84">
        <f>SUM(AI15:AI16)</f>
        <v>738239.39999999991</v>
      </c>
      <c r="AJ52" s="76">
        <f t="shared" si="4"/>
        <v>703062.10000000009</v>
      </c>
      <c r="AK52" s="76">
        <f>SUM(AK15:AK16)</f>
        <v>727404.48</v>
      </c>
      <c r="AL52" s="76">
        <f t="shared" si="4"/>
        <v>713291.7</v>
      </c>
    </row>
    <row r="53" spans="1:49" ht="17.649999999999999" hidden="1" x14ac:dyDescent="0.3">
      <c r="A53" s="71"/>
      <c r="B53" s="71" t="s">
        <v>42</v>
      </c>
      <c r="C53" s="71"/>
      <c r="D53" s="77">
        <f t="shared" ref="D53:AL53" si="5">SUM(D17:D21)</f>
        <v>24150</v>
      </c>
      <c r="E53" s="77">
        <f t="shared" si="5"/>
        <v>25201</v>
      </c>
      <c r="F53" s="77">
        <f t="shared" si="5"/>
        <v>26278</v>
      </c>
      <c r="G53" s="77">
        <f t="shared" si="5"/>
        <v>27180</v>
      </c>
      <c r="H53" s="77">
        <f t="shared" si="5"/>
        <v>27954</v>
      </c>
      <c r="I53" s="77">
        <f t="shared" si="5"/>
        <v>28363</v>
      </c>
      <c r="J53" s="77">
        <f t="shared" si="5"/>
        <v>28615</v>
      </c>
      <c r="K53" s="77">
        <f t="shared" si="5"/>
        <v>29763</v>
      </c>
      <c r="L53" s="77">
        <f t="shared" si="5"/>
        <v>30312</v>
      </c>
      <c r="M53" s="77">
        <f t="shared" si="5"/>
        <v>30945</v>
      </c>
      <c r="N53" s="77">
        <f t="shared" si="5"/>
        <v>31425</v>
      </c>
      <c r="O53" s="75">
        <f t="shared" si="5"/>
        <v>210561.8</v>
      </c>
      <c r="P53" s="71">
        <f t="shared" si="5"/>
        <v>229296.5</v>
      </c>
      <c r="Q53" s="76">
        <f t="shared" si="5"/>
        <v>229406.8</v>
      </c>
      <c r="R53" s="76">
        <f t="shared" si="5"/>
        <v>229296.5</v>
      </c>
      <c r="S53" s="76">
        <f t="shared" si="5"/>
        <v>99.999999999999986</v>
      </c>
      <c r="T53" s="76">
        <f t="shared" si="5"/>
        <v>210561.8</v>
      </c>
      <c r="U53" s="76">
        <f t="shared" si="5"/>
        <v>24242.0082815735</v>
      </c>
      <c r="V53" s="76">
        <f t="shared" si="5"/>
        <v>229304.49171842649</v>
      </c>
      <c r="W53" s="76">
        <f t="shared" si="5"/>
        <v>210661.8</v>
      </c>
      <c r="X53" s="76">
        <f t="shared" si="5"/>
        <v>115021.40902691512</v>
      </c>
      <c r="Y53" s="76">
        <f t="shared" si="5"/>
        <v>4787.3909730848864</v>
      </c>
      <c r="Z53" s="76">
        <f t="shared" si="5"/>
        <v>59904.400000000009</v>
      </c>
      <c r="AA53" s="76">
        <f t="shared" si="5"/>
        <v>229406.8</v>
      </c>
      <c r="AB53" s="76">
        <f t="shared" si="5"/>
        <v>0</v>
      </c>
      <c r="AC53" s="76">
        <f t="shared" si="5"/>
        <v>0</v>
      </c>
      <c r="AD53" s="76">
        <f t="shared" si="5"/>
        <v>274269.60000000003</v>
      </c>
      <c r="AE53" s="76">
        <f t="shared" si="5"/>
        <v>295716.09999999998</v>
      </c>
      <c r="AF53" s="71">
        <f t="shared" si="5"/>
        <v>348822</v>
      </c>
      <c r="AG53" s="71">
        <f t="shared" si="5"/>
        <v>232922.2</v>
      </c>
      <c r="AH53" s="71">
        <f t="shared" si="5"/>
        <v>223241.09999999998</v>
      </c>
      <c r="AI53" s="84">
        <f t="shared" si="5"/>
        <v>264453.7</v>
      </c>
      <c r="AJ53" s="71">
        <f t="shared" si="5"/>
        <v>320671.5</v>
      </c>
      <c r="AK53" s="71">
        <f t="shared" si="5"/>
        <v>336449.00350000005</v>
      </c>
      <c r="AL53" s="71">
        <f t="shared" si="5"/>
        <v>330485.39542299998</v>
      </c>
    </row>
    <row r="54" spans="1:49" ht="17.649999999999999" hidden="1" x14ac:dyDescent="0.3">
      <c r="A54" s="71"/>
      <c r="B54" s="71" t="s">
        <v>41</v>
      </c>
      <c r="C54" s="71"/>
      <c r="D54" s="77">
        <f t="shared" ref="D54:AH54" si="6">SUM(D22:D23)</f>
        <v>7595</v>
      </c>
      <c r="E54" s="77">
        <f t="shared" si="6"/>
        <v>1989719</v>
      </c>
      <c r="F54" s="77">
        <f t="shared" si="6"/>
        <v>1989719</v>
      </c>
      <c r="G54" s="77">
        <f t="shared" si="6"/>
        <v>1969150</v>
      </c>
      <c r="H54" s="77">
        <f t="shared" si="6"/>
        <v>1969150</v>
      </c>
      <c r="I54" s="77">
        <f t="shared" si="6"/>
        <v>2472612</v>
      </c>
      <c r="J54" s="77">
        <f t="shared" si="6"/>
        <v>2414567</v>
      </c>
      <c r="K54" s="77">
        <f t="shared" si="6"/>
        <v>1311705</v>
      </c>
      <c r="L54" s="77">
        <f t="shared" si="6"/>
        <v>1531335</v>
      </c>
      <c r="M54" s="77">
        <f t="shared" si="6"/>
        <v>1531335</v>
      </c>
      <c r="N54" s="77">
        <f t="shared" si="6"/>
        <v>1531335</v>
      </c>
      <c r="O54" s="75">
        <f t="shared" si="6"/>
        <v>129383.79999999999</v>
      </c>
      <c r="P54" s="71">
        <f t="shared" si="6"/>
        <v>135009.1</v>
      </c>
      <c r="Q54" s="76">
        <f t="shared" si="6"/>
        <v>143892</v>
      </c>
      <c r="R54" s="76">
        <f t="shared" si="6"/>
        <v>135009.1</v>
      </c>
      <c r="S54" s="76">
        <f t="shared" si="6"/>
        <v>229602.7</v>
      </c>
      <c r="T54" s="76">
        <f t="shared" si="6"/>
        <v>210561.8</v>
      </c>
      <c r="U54" s="76">
        <f t="shared" si="6"/>
        <v>142604.1</v>
      </c>
      <c r="V54" s="76">
        <f t="shared" si="6"/>
        <v>574867.39999999991</v>
      </c>
      <c r="W54" s="76">
        <f t="shared" si="6"/>
        <v>1207915</v>
      </c>
      <c r="X54" s="76">
        <f t="shared" si="6"/>
        <v>633047.6</v>
      </c>
      <c r="Y54" s="76">
        <f t="shared" si="6"/>
        <v>0</v>
      </c>
      <c r="Z54" s="76">
        <f t="shared" si="6"/>
        <v>66.052066119987458</v>
      </c>
      <c r="AA54" s="76">
        <f t="shared" si="6"/>
        <v>33.947933880012528</v>
      </c>
      <c r="AB54" s="76">
        <f t="shared" si="6"/>
        <v>99.999999999999986</v>
      </c>
      <c r="AC54" s="76">
        <f t="shared" si="6"/>
        <v>292409.59999999998</v>
      </c>
      <c r="AD54" s="76">
        <f t="shared" si="6"/>
        <v>167056.5</v>
      </c>
      <c r="AE54" s="76">
        <f t="shared" si="6"/>
        <v>192526.1</v>
      </c>
      <c r="AF54" s="76">
        <f t="shared" si="6"/>
        <v>218317.7</v>
      </c>
      <c r="AG54" s="76">
        <f t="shared" si="6"/>
        <v>254828.59999999998</v>
      </c>
      <c r="AH54" s="76">
        <f t="shared" si="6"/>
        <v>281492.2</v>
      </c>
      <c r="AI54" s="84">
        <f>SUM(AI22:AI25)</f>
        <v>289093.3</v>
      </c>
      <c r="AJ54" s="76">
        <f>SUM(AJ22:AJ25)</f>
        <v>298458.10000000003</v>
      </c>
      <c r="AK54" s="76">
        <f>SUM(AK22:AK25)</f>
        <v>328787.02</v>
      </c>
      <c r="AL54" s="76">
        <f>SUM(AL22:AL25)</f>
        <v>313219</v>
      </c>
    </row>
    <row r="55" spans="1:49" ht="17.649999999999999" hidden="1" x14ac:dyDescent="0.3">
      <c r="A55" s="71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5"/>
      <c r="P55" s="71"/>
      <c r="Q55" s="71"/>
      <c r="R55" s="71"/>
      <c r="S55" s="71"/>
      <c r="AI55" s="86"/>
    </row>
    <row r="56" spans="1:49" ht="17.649999999999999" hidden="1" x14ac:dyDescent="0.3">
      <c r="A56" s="71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5">
        <f>SUM(O53:O54)</f>
        <v>339945.6</v>
      </c>
      <c r="P56" s="71">
        <f>SUM(P53:P54)</f>
        <v>364305.6</v>
      </c>
      <c r="Q56" s="71">
        <f>SUM(Q53:Q54)</f>
        <v>373298.8</v>
      </c>
      <c r="R56" s="71">
        <f t="shared" ref="R56:AC56" si="7">SUM(R53:R54)</f>
        <v>364305.6</v>
      </c>
      <c r="S56" s="71">
        <f t="shared" si="7"/>
        <v>229702.7</v>
      </c>
      <c r="T56" s="71">
        <f t="shared" si="7"/>
        <v>421123.6</v>
      </c>
      <c r="U56" s="71">
        <f t="shared" si="7"/>
        <v>166846.10828157351</v>
      </c>
      <c r="V56" s="71">
        <f t="shared" si="7"/>
        <v>804171.89171842637</v>
      </c>
      <c r="W56" s="71">
        <f t="shared" si="7"/>
        <v>1418576.8</v>
      </c>
      <c r="X56" s="71">
        <f t="shared" si="7"/>
        <v>748069.00902691507</v>
      </c>
      <c r="Y56" s="71">
        <f t="shared" si="7"/>
        <v>4787.3909730848864</v>
      </c>
      <c r="Z56" s="71">
        <f t="shared" si="7"/>
        <v>59970.452066119993</v>
      </c>
      <c r="AA56" s="71">
        <f t="shared" si="7"/>
        <v>229440.74793387999</v>
      </c>
      <c r="AB56" s="71">
        <f t="shared" si="7"/>
        <v>99.999999999999986</v>
      </c>
      <c r="AC56" s="71">
        <f t="shared" si="7"/>
        <v>292409.59999999998</v>
      </c>
      <c r="AD56" s="71">
        <f t="shared" ref="AD56:AE56" si="8">SUM(AD53:AD54)</f>
        <v>441326.10000000003</v>
      </c>
      <c r="AE56" s="71">
        <f t="shared" si="8"/>
        <v>488242.19999999995</v>
      </c>
      <c r="AF56" s="71">
        <f t="shared" ref="AF56:AL56" si="9">SUM(AF53:AF54)</f>
        <v>567139.69999999995</v>
      </c>
      <c r="AG56" s="71">
        <f t="shared" si="9"/>
        <v>487750.8</v>
      </c>
      <c r="AH56" s="71">
        <f t="shared" si="9"/>
        <v>504733.3</v>
      </c>
      <c r="AI56" s="85">
        <f t="shared" si="9"/>
        <v>553547</v>
      </c>
      <c r="AJ56" s="71">
        <f t="shared" si="9"/>
        <v>619129.60000000009</v>
      </c>
      <c r="AK56" s="71">
        <f>SUM(AK53:AK54)</f>
        <v>665236.02350000013</v>
      </c>
      <c r="AL56" s="71">
        <f t="shared" si="9"/>
        <v>643704.39542299998</v>
      </c>
    </row>
    <row r="57" spans="1:49" ht="17.649999999999999" hidden="1" x14ac:dyDescent="0.3">
      <c r="A57" s="71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5">
        <f>O56+O52</f>
        <v>633802.19999999995</v>
      </c>
      <c r="P57" s="71">
        <f>P56+P52</f>
        <v>675679.2</v>
      </c>
      <c r="Q57" s="76">
        <f>Q56+Q52</f>
        <v>696185.5</v>
      </c>
      <c r="R57" s="71">
        <f t="shared" ref="R57:AC57" si="10">R56+R52</f>
        <v>675679.2</v>
      </c>
      <c r="S57" s="71">
        <f t="shared" si="10"/>
        <v>229802.7</v>
      </c>
      <c r="T57" s="71">
        <f t="shared" si="10"/>
        <v>421123.6</v>
      </c>
      <c r="U57" s="71">
        <f t="shared" si="10"/>
        <v>460702.70828157349</v>
      </c>
      <c r="V57" s="71">
        <f t="shared" si="10"/>
        <v>1115545.4917184263</v>
      </c>
      <c r="W57" s="71">
        <f t="shared" si="10"/>
        <v>1770662.5</v>
      </c>
      <c r="X57" s="71">
        <f t="shared" si="10"/>
        <v>1102575.8090269151</v>
      </c>
      <c r="Y57" s="71">
        <f t="shared" si="10"/>
        <v>47920.590973084894</v>
      </c>
      <c r="Z57" s="71">
        <f t="shared" si="10"/>
        <v>59970.452066119993</v>
      </c>
      <c r="AA57" s="71">
        <f t="shared" si="10"/>
        <v>229440.74793387999</v>
      </c>
      <c r="AB57" s="71">
        <f t="shared" si="10"/>
        <v>99.999999999999986</v>
      </c>
      <c r="AC57" s="71">
        <f t="shared" si="10"/>
        <v>292409.59999999998</v>
      </c>
      <c r="AD57" s="76">
        <f t="shared" ref="AD57:AE57" si="11">AD56+AD52</f>
        <v>879576.10000000009</v>
      </c>
      <c r="AE57" s="76">
        <f t="shared" si="11"/>
        <v>979568.89999999991</v>
      </c>
      <c r="AF57" s="78">
        <f t="shared" ref="AF57:AL57" si="12">AF56+AF52</f>
        <v>1172693.7</v>
      </c>
      <c r="AG57" s="78">
        <f t="shared" si="12"/>
        <v>1068124.7</v>
      </c>
      <c r="AH57" s="78">
        <f t="shared" si="12"/>
        <v>1168039.2</v>
      </c>
      <c r="AI57" s="87">
        <f>AI56+AI52</f>
        <v>1291786.3999999999</v>
      </c>
      <c r="AJ57" s="78">
        <f>AJ56+AJ52</f>
        <v>1322191.7000000002</v>
      </c>
      <c r="AK57" s="78">
        <f>AK56+AK52</f>
        <v>1392640.5035000001</v>
      </c>
      <c r="AL57" s="78">
        <f t="shared" si="12"/>
        <v>1356996.0954229999</v>
      </c>
    </row>
    <row r="58" spans="1:49" ht="17.649999999999999" hidden="1" x14ac:dyDescent="0.3">
      <c r="A58" s="71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AI58" s="86"/>
      <c r="AM58" s="82"/>
      <c r="AN58" s="82"/>
      <c r="AO58" s="82"/>
      <c r="AP58" s="82"/>
      <c r="AQ58" s="82"/>
      <c r="AR58" s="82"/>
      <c r="AS58" s="82"/>
    </row>
    <row r="59" spans="1:49" ht="23.65" hidden="1" customHeight="1" x14ac:dyDescent="0.3">
      <c r="A59" s="71"/>
      <c r="B59" s="71"/>
      <c r="C59" s="71">
        <f>+P61</f>
        <v>0</v>
      </c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>
        <f>71942.7+292362.9</f>
        <v>364305.60000000003</v>
      </c>
      <c r="Q59" s="71">
        <v>366472.3</v>
      </c>
      <c r="R59" s="71"/>
      <c r="S59" s="71"/>
      <c r="AD59" s="79">
        <v>517553.9</v>
      </c>
      <c r="AE59" s="99">
        <v>517553.9</v>
      </c>
      <c r="AF59" s="99">
        <v>1171612</v>
      </c>
      <c r="AG59" s="100">
        <f>580373.9+232922.2+230943.4+23885.2</f>
        <v>1068124.7000000002</v>
      </c>
      <c r="AH59" s="103">
        <f>663305.9+223241.1+243099.1+38393.1</f>
        <v>1168039.2000000002</v>
      </c>
      <c r="AI59" s="102">
        <f>738239.4+264453.7+128797.1+115310.3+44985.9</f>
        <v>1291786.4000000001</v>
      </c>
      <c r="AJ59" s="101">
        <f>701876.9+319580.9+145023.9+45971.4+107462.8+2275.8</f>
        <v>1322191.7</v>
      </c>
      <c r="AK59" s="101">
        <f>726316+335431.3+153389+61407+113991.7+2105.5</f>
        <v>1392640.5</v>
      </c>
      <c r="AL59" s="101">
        <f>713291.7+328115.3+157694+38339.4+117185.6+2370.1</f>
        <v>1356996.1</v>
      </c>
      <c r="AM59" s="82"/>
      <c r="AN59" s="97" t="s">
        <v>79</v>
      </c>
      <c r="AO59" s="97"/>
      <c r="AP59" s="97"/>
      <c r="AQ59" s="97"/>
      <c r="AR59" s="97"/>
      <c r="AS59" s="97"/>
    </row>
    <row r="60" spans="1:49" ht="15.75" hidden="1" x14ac:dyDescent="0.3">
      <c r="A60" s="80"/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>
        <f>P59-P56</f>
        <v>0</v>
      </c>
      <c r="Q60" s="80">
        <f>Q56-Q59</f>
        <v>6826.5</v>
      </c>
      <c r="R60" s="80"/>
      <c r="S60" s="80"/>
      <c r="AG60" s="51"/>
      <c r="AH60" s="51"/>
      <c r="AI60" s="51"/>
      <c r="AJ60" s="51"/>
      <c r="AK60" s="51"/>
      <c r="AL60" s="51"/>
      <c r="AP60" s="3" t="s">
        <v>69</v>
      </c>
      <c r="AQ60" s="3">
        <f>AG17/AG53*100</f>
        <v>42.822796624795743</v>
      </c>
      <c r="AS60" s="3">
        <v>42.8</v>
      </c>
      <c r="AU60" s="67">
        <f>AU65*AS60%</f>
        <v>12691.783600000001</v>
      </c>
      <c r="AV60" s="51"/>
      <c r="AW60" s="51"/>
    </row>
    <row r="61" spans="1:49" ht="15.75" hidden="1" x14ac:dyDescent="0.3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AF61" s="51">
        <f t="shared" ref="AF61:AJ61" si="13">AF59-AF57</f>
        <v>-1081.6999999999534</v>
      </c>
      <c r="AG61" s="104">
        <f>AG59-AG57</f>
        <v>0</v>
      </c>
      <c r="AH61" s="104">
        <f>AH59-AH57</f>
        <v>0</v>
      </c>
      <c r="AI61" s="104">
        <f>AI59-AI57</f>
        <v>0</v>
      </c>
      <c r="AJ61" s="104">
        <f t="shared" si="13"/>
        <v>0</v>
      </c>
      <c r="AK61" s="104">
        <f>AK59-AK57</f>
        <v>-3.5000001080334187E-3</v>
      </c>
      <c r="AL61" s="104">
        <f>AL59-AL57</f>
        <v>4.5770001597702503E-3</v>
      </c>
      <c r="AP61" s="3" t="s">
        <v>70</v>
      </c>
      <c r="AQ61" s="3">
        <f>AG19/AG53*100</f>
        <v>45.070542867961919</v>
      </c>
      <c r="AS61" s="3">
        <v>45.1</v>
      </c>
      <c r="AU61" s="67">
        <f>AU65*AS61%</f>
        <v>13373.8187</v>
      </c>
      <c r="AV61" s="51"/>
      <c r="AW61" s="51"/>
    </row>
    <row r="62" spans="1:49" ht="15.75" hidden="1" x14ac:dyDescent="0.3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AD62" s="67">
        <f>AD59-AD56</f>
        <v>76227.799999999988</v>
      </c>
      <c r="AE62" s="67">
        <f>AE59-AE56</f>
        <v>29311.70000000007</v>
      </c>
      <c r="AF62" s="67">
        <f>AF59-AF56</f>
        <v>604472.30000000005</v>
      </c>
      <c r="AG62" s="67"/>
      <c r="AP62" s="3" t="s">
        <v>71</v>
      </c>
      <c r="AQ62" s="3">
        <f>AG21/AG53*100</f>
        <v>12.106660507242333</v>
      </c>
      <c r="AS62" s="3">
        <v>12.1</v>
      </c>
      <c r="AU62" s="67">
        <f>AU65*AS62%</f>
        <v>3588.0976999999998</v>
      </c>
      <c r="AV62" s="51"/>
      <c r="AW62" s="51"/>
    </row>
    <row r="63" spans="1:49" ht="15.75" hidden="1" x14ac:dyDescent="0.3">
      <c r="A63" s="80"/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AQ63" s="3">
        <f>SUM(AQ60:AQ62)</f>
        <v>100</v>
      </c>
      <c r="AU63" s="67"/>
    </row>
    <row r="64" spans="1:49" ht="15.75" hidden="1" x14ac:dyDescent="0.3">
      <c r="A64" s="80"/>
      <c r="B64" s="80"/>
      <c r="C64" s="80"/>
      <c r="D64" s="80"/>
      <c r="E64" s="80"/>
      <c r="F64" s="80"/>
      <c r="G64" s="80"/>
      <c r="H64" s="80" t="s">
        <v>44</v>
      </c>
      <c r="I64" s="80"/>
      <c r="J64" s="80"/>
      <c r="K64" s="80"/>
      <c r="L64" s="80"/>
      <c r="M64" s="80"/>
      <c r="N64" s="80"/>
      <c r="O64" s="80" t="s">
        <v>43</v>
      </c>
      <c r="P64" s="80">
        <f>21869.2+289504.4</f>
        <v>311373.60000000003</v>
      </c>
      <c r="Q64" s="80"/>
      <c r="R64" s="80"/>
      <c r="S64" s="80"/>
      <c r="AU64" s="67"/>
    </row>
    <row r="65" spans="1:50" hidden="1" x14ac:dyDescent="0.3">
      <c r="A65" s="67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 t="s">
        <v>54</v>
      </c>
      <c r="R65" s="67"/>
      <c r="S65" s="67"/>
      <c r="AD65" s="67">
        <f t="shared" ref="AD65:AL65" si="14">AD29+AD30</f>
        <v>4790.7</v>
      </c>
      <c r="AE65" s="67">
        <f t="shared" si="14"/>
        <v>4945.5</v>
      </c>
      <c r="AF65" s="67">
        <f t="shared" si="14"/>
        <v>6161.4</v>
      </c>
      <c r="AG65" s="67">
        <f t="shared" si="14"/>
        <v>5952.2</v>
      </c>
      <c r="AH65" s="67">
        <f t="shared" si="14"/>
        <v>4996</v>
      </c>
      <c r="AI65" s="67">
        <f>AI29+AI30</f>
        <v>6207.7000000000007</v>
      </c>
      <c r="AJ65" s="67">
        <f t="shared" si="14"/>
        <v>9830.4</v>
      </c>
      <c r="AK65" s="67">
        <f t="shared" si="14"/>
        <v>10243.394764799999</v>
      </c>
      <c r="AL65" s="67">
        <f t="shared" si="14"/>
        <v>10593.61643180851</v>
      </c>
      <c r="AU65" s="67">
        <v>29653.7</v>
      </c>
      <c r="AV65" s="51"/>
      <c r="AW65" s="51"/>
      <c r="AX65" s="51"/>
    </row>
    <row r="66" spans="1:50" hidden="1" x14ac:dyDescent="0.3">
      <c r="H66" s="3" t="s">
        <v>45</v>
      </c>
      <c r="P66" s="67">
        <f>P52-P64</f>
        <v>0</v>
      </c>
    </row>
    <row r="67" spans="1:50" hidden="1" x14ac:dyDescent="0.3">
      <c r="AH67" s="51">
        <v>4996</v>
      </c>
      <c r="AI67" s="98">
        <v>6207.7</v>
      </c>
      <c r="AJ67" s="98">
        <v>9830.4</v>
      </c>
      <c r="AK67" s="98">
        <v>10243.4</v>
      </c>
      <c r="AL67" s="98">
        <v>10593.8</v>
      </c>
    </row>
    <row r="68" spans="1:50" hidden="1" x14ac:dyDescent="0.3">
      <c r="O68" s="3" t="s">
        <v>46</v>
      </c>
      <c r="AD68" s="51">
        <f>4871.7-91</f>
        <v>4780.7</v>
      </c>
      <c r="AE68" s="51">
        <v>4824.3</v>
      </c>
      <c r="AF68" s="51">
        <v>4955.8</v>
      </c>
      <c r="AG68" s="51"/>
      <c r="AH68" s="51"/>
    </row>
    <row r="69" spans="1:50" hidden="1" x14ac:dyDescent="0.3">
      <c r="AD69" s="51">
        <f>AD68-AD65</f>
        <v>-10</v>
      </c>
      <c r="AE69" s="51">
        <f>AE68-AE65</f>
        <v>-121.19999999999982</v>
      </c>
      <c r="AF69" s="51">
        <f>AF68-AF65</f>
        <v>-1205.5999999999995</v>
      </c>
      <c r="AG69" s="51"/>
      <c r="AH69" s="51">
        <f>AH65-AH67</f>
        <v>0</v>
      </c>
      <c r="AI69" s="51">
        <f>AI67-AI65</f>
        <v>0</v>
      </c>
      <c r="AJ69" s="51">
        <f t="shared" ref="AJ69:AL69" si="15">AJ67-AJ65</f>
        <v>0</v>
      </c>
      <c r="AK69" s="51">
        <f t="shared" si="15"/>
        <v>5.2352000002429122E-3</v>
      </c>
      <c r="AL69" s="51">
        <f t="shared" si="15"/>
        <v>0.18356819148903014</v>
      </c>
    </row>
    <row r="70" spans="1:50" hidden="1" x14ac:dyDescent="0.3">
      <c r="O70" s="3" t="s">
        <v>41</v>
      </c>
    </row>
    <row r="71" spans="1:50" hidden="1" x14ac:dyDescent="0.3"/>
    <row r="72" spans="1:50" hidden="1" x14ac:dyDescent="0.3"/>
    <row r="73" spans="1:50" ht="20.25" hidden="1" x14ac:dyDescent="0.35">
      <c r="F73" s="81"/>
      <c r="G73" s="81" t="s">
        <v>47</v>
      </c>
      <c r="H73" s="81"/>
      <c r="I73" s="81"/>
      <c r="J73" s="81"/>
      <c r="K73" s="81"/>
      <c r="L73" s="81"/>
      <c r="M73" s="81"/>
      <c r="N73" s="81"/>
      <c r="O73" s="81"/>
      <c r="P73" s="82"/>
      <c r="Q73" s="82"/>
    </row>
    <row r="74" spans="1:50" hidden="1" x14ac:dyDescent="0.3"/>
    <row r="75" spans="1:50" ht="24.2" hidden="1" x14ac:dyDescent="0.45">
      <c r="G75" s="83"/>
      <c r="H75" s="83" t="s">
        <v>74</v>
      </c>
      <c r="I75" s="83"/>
      <c r="J75" s="83"/>
      <c r="K75" s="83"/>
      <c r="L75" s="83"/>
      <c r="M75" s="83"/>
      <c r="N75" s="83"/>
      <c r="O75" s="83"/>
      <c r="P75" s="83"/>
      <c r="Q75" s="83"/>
    </row>
    <row r="76" spans="1:50" hidden="1" x14ac:dyDescent="0.3"/>
    <row r="78" spans="1:50" hidden="1" x14ac:dyDescent="0.3"/>
    <row r="79" spans="1:50" hidden="1" x14ac:dyDescent="0.3">
      <c r="AD79" s="51"/>
      <c r="AE79" s="51">
        <v>535078.9</v>
      </c>
      <c r="AF79" s="51">
        <v>618620.69999999995</v>
      </c>
      <c r="AG79" s="51">
        <v>623126.4</v>
      </c>
    </row>
    <row r="80" spans="1:50" hidden="1" x14ac:dyDescent="0.3"/>
    <row r="81" spans="31:33" hidden="1" x14ac:dyDescent="0.3">
      <c r="AE81" s="51">
        <f>AE79-AE52</f>
        <v>43752.20000000007</v>
      </c>
      <c r="AF81" s="51">
        <f t="shared" ref="AF81" si="16">AF79-AF52</f>
        <v>13066.699999999953</v>
      </c>
      <c r="AG81" s="51">
        <f>AG79-AG52</f>
        <v>42752.5</v>
      </c>
    </row>
  </sheetData>
  <mergeCells count="22">
    <mergeCell ref="A39:Q39"/>
    <mergeCell ref="A40:Q40"/>
    <mergeCell ref="A9:A10"/>
    <mergeCell ref="B9:B10"/>
    <mergeCell ref="C9:N9"/>
    <mergeCell ref="O9:AL9"/>
    <mergeCell ref="A27:AL27"/>
    <mergeCell ref="A12:AL12"/>
    <mergeCell ref="A13:AL13"/>
    <mergeCell ref="A28:AL28"/>
    <mergeCell ref="AI6:AK6"/>
    <mergeCell ref="AI7:AK7"/>
    <mergeCell ref="A8:AK8"/>
    <mergeCell ref="AE6:AG6"/>
    <mergeCell ref="AE7:AG7"/>
    <mergeCell ref="O7:Q7"/>
    <mergeCell ref="O6:Q6"/>
    <mergeCell ref="A43:Q43"/>
    <mergeCell ref="A42:Q42"/>
    <mergeCell ref="A46:AL46"/>
    <mergeCell ref="A48:AL48"/>
    <mergeCell ref="A50:AL50"/>
  </mergeCells>
  <printOptions horizontalCentered="1"/>
  <pageMargins left="0.19685039370078741" right="0" top="0.39370078740157483" bottom="0.39370078740157483" header="0" footer="0"/>
  <pageSetup paperSize="9" scale="44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Машенская Алёна Анатольевна</cp:lastModifiedBy>
  <cp:lastPrinted>2024-01-12T06:29:36Z</cp:lastPrinted>
  <dcterms:created xsi:type="dcterms:W3CDTF">2014-07-16T02:55:06Z</dcterms:created>
  <dcterms:modified xsi:type="dcterms:W3CDTF">2024-01-12T06:29:40Z</dcterms:modified>
</cp:coreProperties>
</file>