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15" yWindow="630" windowWidth="20565" windowHeight="12585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РИМ_'!$A$7:$Y$791</definedName>
    <definedName name="_xlnm._FilterDatabase" localSheetId="0" hidden="1">'Таблица № 3'!$A$6:$S$120</definedName>
    <definedName name="_xlnm.Print_Area" localSheetId="1">'Приложение № 3 к МП РИМ_'!$A$1:$Z$795</definedName>
    <definedName name="_xlnm.Print_Area" localSheetId="0">'Таблица № 3'!$A$1:$S$120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90" i="6" l="1"/>
  <c r="M613" i="6" l="1"/>
  <c r="M606" i="6" s="1"/>
  <c r="D606" i="6" s="1"/>
  <c r="O733" i="6"/>
  <c r="F733" i="6"/>
  <c r="G733" i="6"/>
  <c r="H733" i="6"/>
  <c r="I733" i="6"/>
  <c r="J733" i="6"/>
  <c r="K733" i="6"/>
  <c r="L733" i="6"/>
  <c r="M733" i="6"/>
  <c r="N733" i="6"/>
  <c r="E733" i="6"/>
  <c r="D734" i="6"/>
  <c r="D735" i="6"/>
  <c r="D736" i="6"/>
  <c r="D737" i="6"/>
  <c r="D733" i="6" l="1"/>
  <c r="M644" i="6"/>
  <c r="M770" i="6"/>
  <c r="M669" i="6"/>
  <c r="M659" i="6"/>
  <c r="M439" i="6"/>
  <c r="N413" i="6" l="1"/>
  <c r="N725" i="6"/>
  <c r="N612" i="6"/>
  <c r="D732" i="6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7" i="6"/>
  <c r="N726" i="6"/>
  <c r="M726" i="6"/>
  <c r="M725" i="6"/>
  <c r="D725" i="6" s="1"/>
  <c r="D724" i="6"/>
  <c r="O723" i="6"/>
  <c r="N723" i="6"/>
  <c r="L723" i="6"/>
  <c r="K723" i="6"/>
  <c r="J723" i="6"/>
  <c r="I723" i="6"/>
  <c r="H723" i="6"/>
  <c r="G723" i="6"/>
  <c r="F723" i="6"/>
  <c r="E723" i="6"/>
  <c r="N411" i="6"/>
  <c r="M413" i="6"/>
  <c r="D413" i="6" s="1"/>
  <c r="N414" i="6"/>
  <c r="M414" i="6"/>
  <c r="D414" i="6" s="1"/>
  <c r="D420" i="6"/>
  <c r="D419" i="6"/>
  <c r="D418" i="6"/>
  <c r="D417" i="6"/>
  <c r="O416" i="6"/>
  <c r="N416" i="6"/>
  <c r="M416" i="6"/>
  <c r="L416" i="6"/>
  <c r="K416" i="6"/>
  <c r="J416" i="6"/>
  <c r="I416" i="6"/>
  <c r="H416" i="6"/>
  <c r="G416" i="6"/>
  <c r="F416" i="6"/>
  <c r="E416" i="6"/>
  <c r="D415" i="6"/>
  <c r="D412" i="6"/>
  <c r="O411" i="6"/>
  <c r="L411" i="6"/>
  <c r="K411" i="6"/>
  <c r="J411" i="6"/>
  <c r="I411" i="6"/>
  <c r="H411" i="6"/>
  <c r="G411" i="6"/>
  <c r="F411" i="6"/>
  <c r="E411" i="6"/>
  <c r="M411" i="6" l="1"/>
  <c r="D411" i="6" s="1"/>
  <c r="D728" i="6"/>
  <c r="D726" i="6"/>
  <c r="M723" i="6"/>
  <c r="D723" i="6" s="1"/>
  <c r="D416" i="6"/>
  <c r="D410" i="6" l="1"/>
  <c r="D409" i="6"/>
  <c r="D408" i="6"/>
  <c r="D407" i="6"/>
  <c r="O406" i="6"/>
  <c r="N406" i="6"/>
  <c r="M406" i="6"/>
  <c r="L406" i="6"/>
  <c r="K406" i="6"/>
  <c r="J406" i="6"/>
  <c r="I406" i="6"/>
  <c r="H406" i="6"/>
  <c r="G406" i="6"/>
  <c r="F406" i="6"/>
  <c r="E406" i="6"/>
  <c r="D406" i="6" l="1"/>
  <c r="M749" i="6"/>
  <c r="M314" i="6" l="1"/>
  <c r="M203" i="6" l="1"/>
  <c r="M399" i="6" l="1"/>
  <c r="D405" i="6" l="1"/>
  <c r="D403" i="6"/>
  <c r="D402" i="6"/>
  <c r="O401" i="6"/>
  <c r="N401" i="6"/>
  <c r="M401" i="6"/>
  <c r="L401" i="6"/>
  <c r="K401" i="6"/>
  <c r="J401" i="6"/>
  <c r="I401" i="6"/>
  <c r="H401" i="6"/>
  <c r="G401" i="6"/>
  <c r="F401" i="6"/>
  <c r="E401" i="6"/>
  <c r="D401" i="6" l="1"/>
  <c r="D404" i="6"/>
  <c r="N203" i="6"/>
  <c r="N659" i="6" l="1"/>
  <c r="D400" i="6" l="1"/>
  <c r="N399" i="6"/>
  <c r="D399" i="6" s="1"/>
  <c r="D398" i="6"/>
  <c r="D397" i="6"/>
  <c r="O396" i="6"/>
  <c r="L396" i="6"/>
  <c r="K396" i="6"/>
  <c r="J396" i="6"/>
  <c r="I396" i="6"/>
  <c r="H396" i="6"/>
  <c r="G396" i="6"/>
  <c r="F396" i="6"/>
  <c r="E396" i="6"/>
  <c r="N396" i="6" l="1"/>
  <c r="D396" i="6"/>
  <c r="M396" i="6"/>
  <c r="M561" i="6" l="1"/>
  <c r="M388" i="6"/>
  <c r="M790" i="6" l="1"/>
  <c r="M612" i="6" l="1"/>
  <c r="M429" i="6" l="1"/>
  <c r="M614" i="6" l="1"/>
  <c r="M607" i="6" s="1"/>
  <c r="N614" i="6"/>
  <c r="O614" i="6"/>
  <c r="E614" i="6"/>
  <c r="F614" i="6"/>
  <c r="G614" i="6"/>
  <c r="H614" i="6"/>
  <c r="I614" i="6"/>
  <c r="J614" i="6"/>
  <c r="K614" i="6"/>
  <c r="L614" i="6"/>
  <c r="E607" i="6"/>
  <c r="F607" i="6"/>
  <c r="G607" i="6"/>
  <c r="H607" i="6"/>
  <c r="I607" i="6"/>
  <c r="J607" i="6"/>
  <c r="K607" i="6"/>
  <c r="L607" i="6"/>
  <c r="N607" i="6"/>
  <c r="O607" i="6"/>
  <c r="M696" i="6"/>
  <c r="D614" i="6" l="1"/>
  <c r="D607" i="6"/>
  <c r="D722" i="6"/>
  <c r="L721" i="6"/>
  <c r="D721" i="6" s="1"/>
  <c r="D720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D718" i="6" l="1"/>
  <c r="M384" i="6" l="1"/>
  <c r="M201" i="6" l="1"/>
  <c r="M716" i="6" l="1"/>
  <c r="M364" i="6" l="1"/>
  <c r="M394" i="6"/>
  <c r="M584" i="6" l="1"/>
  <c r="M747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D36" i="6" l="1"/>
  <c r="M23" i="6"/>
  <c r="M634" i="6"/>
  <c r="E608" i="6" l="1"/>
  <c r="F608" i="6"/>
  <c r="G608" i="6"/>
  <c r="H608" i="6"/>
  <c r="I608" i="6"/>
  <c r="J608" i="6"/>
  <c r="K608" i="6"/>
  <c r="L608" i="6"/>
  <c r="N608" i="6"/>
  <c r="O608" i="6"/>
  <c r="M608" i="6"/>
  <c r="M16" i="6" s="1"/>
  <c r="E605" i="6"/>
  <c r="F605" i="6"/>
  <c r="G605" i="6"/>
  <c r="H605" i="6"/>
  <c r="I605" i="6"/>
  <c r="J605" i="6"/>
  <c r="K605" i="6"/>
  <c r="L605" i="6"/>
  <c r="N605" i="6"/>
  <c r="O605" i="6"/>
  <c r="M605" i="6"/>
  <c r="M13" i="6" s="1"/>
  <c r="D743" i="6"/>
  <c r="D741" i="6"/>
  <c r="D750" i="6"/>
  <c r="D748" i="6"/>
  <c r="D605" i="6" l="1"/>
  <c r="D608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D529" i="6"/>
  <c r="D26" i="6" s="1"/>
  <c r="D527" i="6"/>
  <c r="D541" i="6"/>
  <c r="D539" i="6"/>
  <c r="D16" i="6" l="1"/>
  <c r="O388" i="6"/>
  <c r="N388" i="6"/>
  <c r="M482" i="6"/>
  <c r="M464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75" i="6" l="1"/>
  <c r="D465" i="6" l="1"/>
  <c r="M461" i="6"/>
  <c r="K464" i="6"/>
  <c r="D464" i="6" s="1"/>
  <c r="D463" i="6"/>
  <c r="D462" i="6"/>
  <c r="O461" i="6"/>
  <c r="N461" i="6"/>
  <c r="L461" i="6"/>
  <c r="J461" i="6"/>
  <c r="I461" i="6"/>
  <c r="H461" i="6"/>
  <c r="G461" i="6"/>
  <c r="F461" i="6"/>
  <c r="E461" i="6"/>
  <c r="K461" i="6" l="1"/>
  <c r="D461" i="6" s="1"/>
  <c r="M209" i="6" l="1"/>
  <c r="M349" i="6" l="1"/>
  <c r="M348" i="6" l="1"/>
  <c r="O429" i="6" l="1"/>
  <c r="O203" i="6"/>
  <c r="M706" i="6" l="1"/>
  <c r="L364" i="6" l="1"/>
  <c r="L696" i="6" l="1"/>
  <c r="L659" i="6"/>
  <c r="L644" i="6"/>
  <c r="L590" i="6"/>
  <c r="L429" i="6" l="1"/>
  <c r="L388" i="6"/>
  <c r="L203" i="6"/>
  <c r="L790" i="6" l="1"/>
  <c r="L770" i="6"/>
  <c r="L201" i="6" l="1"/>
  <c r="L584" i="6" l="1"/>
  <c r="L65" i="6"/>
  <c r="L534" i="6"/>
  <c r="L314" i="6"/>
  <c r="L502" i="6" l="1"/>
  <c r="L675" i="6"/>
  <c r="L669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49" i="6" l="1"/>
  <c r="L716" i="6" l="1"/>
  <c r="O659" i="6" l="1"/>
  <c r="L706" i="6" l="1"/>
  <c r="L634" i="6"/>
  <c r="L439" i="6" l="1"/>
  <c r="N201" i="6" l="1"/>
  <c r="O349" i="6" l="1"/>
  <c r="O348" i="6"/>
  <c r="N349" i="6"/>
  <c r="N348" i="6"/>
  <c r="O634" i="6" l="1"/>
  <c r="N584" i="6" l="1"/>
  <c r="O790" i="6"/>
  <c r="N790" i="6"/>
  <c r="O706" i="6"/>
  <c r="N706" i="6"/>
  <c r="O696" i="6"/>
  <c r="N696" i="6"/>
  <c r="O675" i="6"/>
  <c r="N675" i="6"/>
  <c r="O669" i="6"/>
  <c r="N669" i="6"/>
  <c r="O644" i="6"/>
  <c r="N644" i="6"/>
  <c r="N634" i="6"/>
  <c r="O590" i="6" l="1"/>
  <c r="N590" i="6"/>
  <c r="O561" i="6"/>
  <c r="N561" i="6"/>
  <c r="O482" i="6"/>
  <c r="N482" i="6"/>
  <c r="O475" i="6"/>
  <c r="N475" i="6"/>
  <c r="M475" i="6"/>
  <c r="N459" i="6"/>
  <c r="M459" i="6"/>
  <c r="O439" i="6"/>
  <c r="O424" i="6" s="1"/>
  <c r="N439" i="6"/>
  <c r="N429" i="6"/>
  <c r="O381" i="6"/>
  <c r="O346" i="6"/>
  <c r="N424" i="6" l="1"/>
  <c r="M424" i="6"/>
  <c r="L701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82" i="6" l="1"/>
  <c r="L475" i="6"/>
  <c r="O187" i="6" l="1"/>
  <c r="L775" i="6" l="1"/>
  <c r="D503" i="6" l="1"/>
  <c r="D502" i="6"/>
  <c r="D501" i="6"/>
  <c r="D500" i="6"/>
  <c r="O499" i="6"/>
  <c r="N499" i="6"/>
  <c r="M499" i="6"/>
  <c r="L499" i="6"/>
  <c r="K499" i="6"/>
  <c r="J499" i="6"/>
  <c r="I499" i="6"/>
  <c r="H499" i="6"/>
  <c r="G499" i="6"/>
  <c r="F499" i="6"/>
  <c r="E499" i="6"/>
  <c r="E494" i="6"/>
  <c r="F494" i="6"/>
  <c r="G494" i="6"/>
  <c r="H494" i="6"/>
  <c r="I494" i="6"/>
  <c r="J494" i="6"/>
  <c r="K494" i="6"/>
  <c r="L494" i="6"/>
  <c r="M494" i="6"/>
  <c r="N494" i="6"/>
  <c r="O494" i="6"/>
  <c r="D495" i="6"/>
  <c r="D496" i="6"/>
  <c r="D497" i="6"/>
  <c r="D498" i="6"/>
  <c r="D494" i="6" l="1"/>
  <c r="D499" i="6"/>
  <c r="L691" i="6" l="1"/>
  <c r="D717" i="6" l="1"/>
  <c r="D716" i="6"/>
  <c r="D715" i="6"/>
  <c r="D714" i="6"/>
  <c r="O713" i="6"/>
  <c r="N713" i="6"/>
  <c r="M713" i="6"/>
  <c r="L713" i="6"/>
  <c r="K713" i="6"/>
  <c r="J713" i="6"/>
  <c r="I713" i="6"/>
  <c r="H713" i="6"/>
  <c r="G713" i="6"/>
  <c r="F713" i="6"/>
  <c r="E713" i="6"/>
  <c r="L613" i="6"/>
  <c r="D713" i="6" l="1"/>
  <c r="L561" i="6"/>
  <c r="L487" i="6" l="1"/>
  <c r="L469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517" i="6"/>
  <c r="L284" i="6" l="1"/>
  <c r="M765" i="6" l="1"/>
  <c r="N765" i="6"/>
  <c r="O765" i="6"/>
  <c r="P765" i="6"/>
  <c r="Q765" i="6"/>
  <c r="R765" i="6"/>
  <c r="S765" i="6"/>
  <c r="L765" i="6"/>
  <c r="I776" i="6"/>
  <c r="H776" i="6"/>
  <c r="G776" i="6"/>
  <c r="F776" i="6"/>
  <c r="E776" i="6"/>
  <c r="D775" i="6"/>
  <c r="D774" i="6"/>
  <c r="O773" i="6"/>
  <c r="N773" i="6"/>
  <c r="N772" i="6" s="1"/>
  <c r="M773" i="6"/>
  <c r="L773" i="6"/>
  <c r="K773" i="6"/>
  <c r="K772" i="6" s="1"/>
  <c r="I773" i="6"/>
  <c r="I772" i="6" s="1"/>
  <c r="H773" i="6"/>
  <c r="H772" i="6" s="1"/>
  <c r="G773" i="6"/>
  <c r="F773" i="6"/>
  <c r="F772" i="6" s="1"/>
  <c r="E773" i="6"/>
  <c r="E772" i="6" s="1"/>
  <c r="M772" i="6"/>
  <c r="J772" i="6"/>
  <c r="D773" i="6" l="1"/>
  <c r="L772" i="6"/>
  <c r="D776" i="6"/>
  <c r="G772" i="6"/>
  <c r="D772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34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613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742" i="6" l="1"/>
  <c r="N742" i="6"/>
  <c r="O742" i="6"/>
  <c r="M740" i="6"/>
  <c r="M604" i="6" s="1"/>
  <c r="N740" i="6"/>
  <c r="O740" i="6"/>
  <c r="L742" i="6"/>
  <c r="L740" i="6"/>
  <c r="K289" i="6" l="1"/>
  <c r="K269" i="6"/>
  <c r="K266" i="6" s="1"/>
  <c r="K584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75" i="6"/>
  <c r="K644" i="6" l="1"/>
  <c r="K669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70" i="6" l="1"/>
  <c r="K765" i="6" s="1"/>
  <c r="K706" i="6"/>
  <c r="K696" i="6"/>
  <c r="K659" i="6"/>
  <c r="K522" i="6"/>
  <c r="K475" i="6"/>
  <c r="K439" i="6"/>
  <c r="K324" i="6"/>
  <c r="K319" i="6"/>
  <c r="K214" i="6"/>
  <c r="K209" i="6"/>
  <c r="K540" i="6" l="1"/>
  <c r="K429" i="6" l="1"/>
  <c r="K482" i="6" l="1"/>
  <c r="K41" i="6"/>
  <c r="K229" i="6" l="1"/>
  <c r="K686" i="6" l="1"/>
  <c r="L459" i="6"/>
  <c r="K47" i="6"/>
  <c r="K590" i="6" l="1"/>
  <c r="K561" i="6"/>
  <c r="K299" i="6" l="1"/>
  <c r="K459" i="6" l="1"/>
  <c r="O613" i="6" l="1"/>
  <c r="O606" i="6" s="1"/>
  <c r="N606" i="6"/>
  <c r="M602" i="6"/>
  <c r="L606" i="6"/>
  <c r="L578" i="6"/>
  <c r="M578" i="6"/>
  <c r="N578" i="6"/>
  <c r="O578" i="6"/>
  <c r="L551" i="6"/>
  <c r="L546" i="6" s="1"/>
  <c r="M551" i="6"/>
  <c r="M546" i="6" s="1"/>
  <c r="N551" i="6"/>
  <c r="N546" i="6" s="1"/>
  <c r="O551" i="6"/>
  <c r="O546" i="6" s="1"/>
  <c r="M469" i="6"/>
  <c r="N469" i="6"/>
  <c r="L424" i="6"/>
  <c r="K624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507" i="6"/>
  <c r="D523" i="6"/>
  <c r="D522" i="6"/>
  <c r="D521" i="6"/>
  <c r="D520" i="6"/>
  <c r="O519" i="6"/>
  <c r="N519" i="6"/>
  <c r="M519" i="6"/>
  <c r="L519" i="6"/>
  <c r="K519" i="6"/>
  <c r="J519" i="6"/>
  <c r="I519" i="6"/>
  <c r="H519" i="6"/>
  <c r="G519" i="6"/>
  <c r="F519" i="6"/>
  <c r="E519" i="6"/>
  <c r="D519" i="6" l="1"/>
  <c r="K256" i="6"/>
  <c r="D712" i="6" l="1"/>
  <c r="D711" i="6"/>
  <c r="D710" i="6"/>
  <c r="D709" i="6"/>
  <c r="O708" i="6"/>
  <c r="N708" i="6"/>
  <c r="M708" i="6"/>
  <c r="L708" i="6"/>
  <c r="K708" i="6"/>
  <c r="J708" i="6"/>
  <c r="I708" i="6"/>
  <c r="H708" i="6"/>
  <c r="G708" i="6"/>
  <c r="F708" i="6"/>
  <c r="E708" i="6"/>
  <c r="D708" i="6" l="1"/>
  <c r="J765" i="6"/>
  <c r="J762" i="6" s="1"/>
  <c r="O768" i="6"/>
  <c r="N768" i="6"/>
  <c r="N767" i="6" s="1"/>
  <c r="M768" i="6"/>
  <c r="L768" i="6"/>
  <c r="L767" i="6" s="1"/>
  <c r="K768" i="6"/>
  <c r="K767" i="6" s="1"/>
  <c r="O763" i="6"/>
  <c r="O762" i="6" s="1"/>
  <c r="N763" i="6"/>
  <c r="N762" i="6" s="1"/>
  <c r="M763" i="6"/>
  <c r="M762" i="6" s="1"/>
  <c r="L763" i="6"/>
  <c r="L762" i="6" s="1"/>
  <c r="K763" i="6"/>
  <c r="I771" i="6"/>
  <c r="H771" i="6"/>
  <c r="G771" i="6"/>
  <c r="F771" i="6"/>
  <c r="E771" i="6"/>
  <c r="I768" i="6"/>
  <c r="H768" i="6"/>
  <c r="G768" i="6"/>
  <c r="F768" i="6"/>
  <c r="E768" i="6"/>
  <c r="I766" i="6"/>
  <c r="H766" i="6"/>
  <c r="G766" i="6"/>
  <c r="F766" i="6"/>
  <c r="E766" i="6"/>
  <c r="I763" i="6"/>
  <c r="H763" i="6"/>
  <c r="G763" i="6"/>
  <c r="F763" i="6"/>
  <c r="E763" i="6"/>
  <c r="D770" i="6"/>
  <c r="D769" i="6"/>
  <c r="M767" i="6"/>
  <c r="J767" i="6"/>
  <c r="D764" i="6"/>
  <c r="D707" i="6"/>
  <c r="D706" i="6"/>
  <c r="D705" i="6"/>
  <c r="D704" i="6"/>
  <c r="O703" i="6"/>
  <c r="N703" i="6"/>
  <c r="M703" i="6"/>
  <c r="L703" i="6"/>
  <c r="K703" i="6"/>
  <c r="J703" i="6"/>
  <c r="I703" i="6"/>
  <c r="H703" i="6"/>
  <c r="G703" i="6"/>
  <c r="F703" i="6"/>
  <c r="E703" i="6"/>
  <c r="D700" i="6"/>
  <c r="D702" i="6"/>
  <c r="D701" i="6"/>
  <c r="D699" i="6"/>
  <c r="O698" i="6"/>
  <c r="N698" i="6"/>
  <c r="M698" i="6"/>
  <c r="L698" i="6"/>
  <c r="K698" i="6"/>
  <c r="J698" i="6"/>
  <c r="I698" i="6"/>
  <c r="H698" i="6"/>
  <c r="G698" i="6"/>
  <c r="F698" i="6"/>
  <c r="E698" i="6"/>
  <c r="I762" i="6" l="1"/>
  <c r="G767" i="6"/>
  <c r="E762" i="6"/>
  <c r="G762" i="6"/>
  <c r="F762" i="6"/>
  <c r="H762" i="6"/>
  <c r="D768" i="6"/>
  <c r="I767" i="6"/>
  <c r="D703" i="6"/>
  <c r="D766" i="6"/>
  <c r="D763" i="6"/>
  <c r="E767" i="6"/>
  <c r="F767" i="6"/>
  <c r="H767" i="6"/>
  <c r="D771" i="6"/>
  <c r="D767" i="6" s="1"/>
  <c r="D765" i="6"/>
  <c r="K762" i="6"/>
  <c r="D698" i="6"/>
  <c r="D762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69" i="6" l="1"/>
  <c r="K187" i="6" l="1"/>
  <c r="K34" i="6" s="1"/>
  <c r="O693" i="6" l="1"/>
  <c r="N693" i="6"/>
  <c r="M693" i="6"/>
  <c r="L693" i="6"/>
  <c r="K693" i="6"/>
  <c r="J693" i="6"/>
  <c r="I693" i="6"/>
  <c r="H693" i="6"/>
  <c r="G693" i="6"/>
  <c r="F693" i="6"/>
  <c r="E693" i="6"/>
  <c r="D697" i="6"/>
  <c r="D696" i="6"/>
  <c r="D695" i="6"/>
  <c r="D694" i="6"/>
  <c r="K790" i="6"/>
  <c r="K634" i="6"/>
  <c r="K424" i="6"/>
  <c r="D457" i="6"/>
  <c r="D458" i="6"/>
  <c r="D459" i="6"/>
  <c r="D460" i="6"/>
  <c r="F456" i="6"/>
  <c r="G456" i="6"/>
  <c r="H456" i="6"/>
  <c r="I456" i="6"/>
  <c r="J456" i="6"/>
  <c r="K456" i="6"/>
  <c r="L456" i="6"/>
  <c r="M456" i="6"/>
  <c r="N456" i="6"/>
  <c r="O456" i="6"/>
  <c r="E456" i="6"/>
  <c r="D693" i="6" l="1"/>
  <c r="D456" i="6"/>
  <c r="O688" i="6"/>
  <c r="N688" i="6"/>
  <c r="M688" i="6"/>
  <c r="L688" i="6"/>
  <c r="K688" i="6"/>
  <c r="J688" i="6"/>
  <c r="I688" i="6"/>
  <c r="H688" i="6"/>
  <c r="G688" i="6"/>
  <c r="F688" i="6"/>
  <c r="E688" i="6"/>
  <c r="D692" i="6"/>
  <c r="D691" i="6"/>
  <c r="D690" i="6"/>
  <c r="D689" i="6"/>
  <c r="D688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613" i="6" l="1"/>
  <c r="K536" i="6" l="1"/>
  <c r="E505" i="6" l="1"/>
  <c r="F505" i="6"/>
  <c r="G505" i="6"/>
  <c r="H505" i="6"/>
  <c r="I505" i="6"/>
  <c r="J505" i="6"/>
  <c r="F508" i="6" l="1"/>
  <c r="G508" i="6"/>
  <c r="H508" i="6"/>
  <c r="I508" i="6"/>
  <c r="J508" i="6"/>
  <c r="K508" i="6"/>
  <c r="L508" i="6"/>
  <c r="M508" i="6"/>
  <c r="N508" i="6"/>
  <c r="O508" i="6"/>
  <c r="E508" i="6"/>
  <c r="F507" i="6"/>
  <c r="G507" i="6"/>
  <c r="H507" i="6"/>
  <c r="I507" i="6"/>
  <c r="L507" i="6"/>
  <c r="M507" i="6"/>
  <c r="N507" i="6"/>
  <c r="O507" i="6"/>
  <c r="E507" i="6"/>
  <c r="F506" i="6"/>
  <c r="G506" i="6"/>
  <c r="H506" i="6"/>
  <c r="I506" i="6"/>
  <c r="J506" i="6"/>
  <c r="K506" i="6"/>
  <c r="L506" i="6"/>
  <c r="M506" i="6"/>
  <c r="N506" i="6"/>
  <c r="O506" i="6"/>
  <c r="E506" i="6"/>
  <c r="K505" i="6"/>
  <c r="L505" i="6"/>
  <c r="M505" i="6"/>
  <c r="N505" i="6"/>
  <c r="O505" i="6"/>
  <c r="D515" i="6"/>
  <c r="D516" i="6"/>
  <c r="D517" i="6"/>
  <c r="D518" i="6"/>
  <c r="F514" i="6"/>
  <c r="G514" i="6"/>
  <c r="H514" i="6"/>
  <c r="I514" i="6"/>
  <c r="J514" i="6"/>
  <c r="K514" i="6"/>
  <c r="L514" i="6"/>
  <c r="M514" i="6"/>
  <c r="N514" i="6"/>
  <c r="O514" i="6"/>
  <c r="E514" i="6"/>
  <c r="F509" i="6"/>
  <c r="G509" i="6"/>
  <c r="H509" i="6"/>
  <c r="I509" i="6"/>
  <c r="K509" i="6"/>
  <c r="L509" i="6"/>
  <c r="M509" i="6"/>
  <c r="N509" i="6"/>
  <c r="O509" i="6"/>
  <c r="E509" i="6"/>
  <c r="D537" i="6"/>
  <c r="D538" i="6"/>
  <c r="D540" i="6"/>
  <c r="D542" i="6"/>
  <c r="F530" i="6"/>
  <c r="G530" i="6"/>
  <c r="H530" i="6"/>
  <c r="I530" i="6"/>
  <c r="J530" i="6"/>
  <c r="K530" i="6"/>
  <c r="L530" i="6"/>
  <c r="M530" i="6"/>
  <c r="N530" i="6"/>
  <c r="O530" i="6"/>
  <c r="E530" i="6"/>
  <c r="F528" i="6"/>
  <c r="G528" i="6"/>
  <c r="H528" i="6"/>
  <c r="I528" i="6"/>
  <c r="J528" i="6"/>
  <c r="K528" i="6"/>
  <c r="L528" i="6"/>
  <c r="M528" i="6"/>
  <c r="N528" i="6"/>
  <c r="O528" i="6"/>
  <c r="E528" i="6"/>
  <c r="F526" i="6"/>
  <c r="G526" i="6"/>
  <c r="H526" i="6"/>
  <c r="I526" i="6"/>
  <c r="J526" i="6"/>
  <c r="K526" i="6"/>
  <c r="L526" i="6"/>
  <c r="M526" i="6"/>
  <c r="N526" i="6"/>
  <c r="O526" i="6"/>
  <c r="E526" i="6"/>
  <c r="F525" i="6"/>
  <c r="G525" i="6"/>
  <c r="H525" i="6"/>
  <c r="I525" i="6"/>
  <c r="J525" i="6"/>
  <c r="K525" i="6"/>
  <c r="L525" i="6"/>
  <c r="M525" i="6"/>
  <c r="N525" i="6"/>
  <c r="O525" i="6"/>
  <c r="E525" i="6"/>
  <c r="F536" i="6"/>
  <c r="G536" i="6"/>
  <c r="H536" i="6"/>
  <c r="I536" i="6"/>
  <c r="J536" i="6"/>
  <c r="L536" i="6"/>
  <c r="M536" i="6"/>
  <c r="N536" i="6"/>
  <c r="O536" i="6"/>
  <c r="E536" i="6"/>
  <c r="D514" i="6" l="1"/>
  <c r="D536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75" i="6" l="1"/>
  <c r="J628" i="6"/>
  <c r="J269" i="6"/>
  <c r="J790" i="6" l="1"/>
  <c r="J669" i="6" l="1"/>
  <c r="J659" i="6"/>
  <c r="J624" i="6"/>
  <c r="J590" i="6"/>
  <c r="J561" i="6"/>
  <c r="J429" i="6"/>
  <c r="J634" i="6" l="1"/>
  <c r="J475" i="6"/>
  <c r="J439" i="6"/>
  <c r="J274" i="6"/>
  <c r="J187" i="6"/>
  <c r="J279" i="6"/>
  <c r="J41" i="6"/>
  <c r="J686" i="6"/>
  <c r="J224" i="6"/>
  <c r="J584" i="6" l="1"/>
  <c r="M199" i="6" l="1"/>
  <c r="L199" i="6"/>
  <c r="K199" i="6"/>
  <c r="O492" i="6"/>
  <c r="O469" i="6" s="1"/>
  <c r="L612" i="6"/>
  <c r="L604" i="6" s="1"/>
  <c r="O612" i="6"/>
  <c r="K612" i="6"/>
  <c r="K740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87" i="6"/>
  <c r="J512" i="6"/>
  <c r="D512" i="6" s="1"/>
  <c r="J740" i="6"/>
  <c r="J742" i="6"/>
  <c r="J744" i="6"/>
  <c r="J209" i="6"/>
  <c r="J206" i="6" s="1"/>
  <c r="E578" i="6"/>
  <c r="J578" i="6"/>
  <c r="J644" i="6"/>
  <c r="J482" i="6"/>
  <c r="J663" i="6"/>
  <c r="J648" i="6"/>
  <c r="D648" i="6" s="1"/>
  <c r="J443" i="6"/>
  <c r="J433" i="6"/>
  <c r="J199" i="6"/>
  <c r="J531" i="6"/>
  <c r="K531" i="6"/>
  <c r="L531" i="6"/>
  <c r="J65" i="6"/>
  <c r="D65" i="6" s="1"/>
  <c r="D143" i="6"/>
  <c r="J254" i="6"/>
  <c r="D254" i="6" s="1"/>
  <c r="I603" i="6"/>
  <c r="E603" i="6"/>
  <c r="I761" i="6"/>
  <c r="I756" i="6" s="1"/>
  <c r="H761" i="6"/>
  <c r="H756" i="6" s="1"/>
  <c r="G761" i="6"/>
  <c r="G756" i="6" s="1"/>
  <c r="F761" i="6"/>
  <c r="F756" i="6" s="1"/>
  <c r="E761" i="6"/>
  <c r="E756" i="6" s="1"/>
  <c r="D760" i="6"/>
  <c r="D759" i="6"/>
  <c r="O758" i="6"/>
  <c r="O757" i="6" s="1"/>
  <c r="N758" i="6"/>
  <c r="N757" i="6" s="1"/>
  <c r="M758" i="6"/>
  <c r="M757" i="6" s="1"/>
  <c r="L758" i="6"/>
  <c r="L757" i="6" s="1"/>
  <c r="K758" i="6"/>
  <c r="K757" i="6" s="1"/>
  <c r="J758" i="6"/>
  <c r="J757" i="6" s="1"/>
  <c r="I758" i="6"/>
  <c r="I753" i="6" s="1"/>
  <c r="H758" i="6"/>
  <c r="G758" i="6"/>
  <c r="F758" i="6"/>
  <c r="F753" i="6" s="1"/>
  <c r="E758" i="6"/>
  <c r="E753" i="6" s="1"/>
  <c r="K756" i="6"/>
  <c r="J756" i="6"/>
  <c r="K755" i="6"/>
  <c r="J755" i="6"/>
  <c r="I755" i="6"/>
  <c r="H755" i="6"/>
  <c r="G755" i="6"/>
  <c r="E755" i="6"/>
  <c r="F755" i="6"/>
  <c r="K754" i="6"/>
  <c r="J754" i="6"/>
  <c r="I754" i="6"/>
  <c r="H754" i="6"/>
  <c r="G754" i="6"/>
  <c r="F754" i="6"/>
  <c r="E754" i="6"/>
  <c r="O753" i="6"/>
  <c r="O752" i="6" s="1"/>
  <c r="N753" i="6"/>
  <c r="N752" i="6" s="1"/>
  <c r="M753" i="6"/>
  <c r="M752" i="6" s="1"/>
  <c r="L753" i="6"/>
  <c r="L752" i="6" s="1"/>
  <c r="J264" i="6"/>
  <c r="J261" i="6" s="1"/>
  <c r="E576" i="6"/>
  <c r="F576" i="6"/>
  <c r="G576" i="6"/>
  <c r="G593" i="6"/>
  <c r="H576" i="6"/>
  <c r="I576" i="6"/>
  <c r="J576" i="6"/>
  <c r="K576" i="6"/>
  <c r="K593" i="6"/>
  <c r="L576" i="6"/>
  <c r="M576" i="6"/>
  <c r="N576" i="6"/>
  <c r="O576" i="6"/>
  <c r="O593" i="6"/>
  <c r="E577" i="6"/>
  <c r="F577" i="6"/>
  <c r="G577" i="6"/>
  <c r="H577" i="6"/>
  <c r="H594" i="6"/>
  <c r="I577" i="6"/>
  <c r="J577" i="6"/>
  <c r="K577" i="6"/>
  <c r="L577" i="6"/>
  <c r="L580" i="6"/>
  <c r="L574" i="6" s="1"/>
  <c r="M577" i="6"/>
  <c r="N577" i="6"/>
  <c r="O577" i="6"/>
  <c r="F578" i="6"/>
  <c r="F595" i="6"/>
  <c r="G578" i="6"/>
  <c r="H578" i="6"/>
  <c r="I578" i="6"/>
  <c r="K578" i="6"/>
  <c r="K595" i="6"/>
  <c r="E579" i="6"/>
  <c r="E569" i="6" s="1"/>
  <c r="F579" i="6"/>
  <c r="F573" i="6" s="1"/>
  <c r="G579" i="6"/>
  <c r="H579" i="6"/>
  <c r="H573" i="6" s="1"/>
  <c r="I579" i="6"/>
  <c r="I573" i="6" s="1"/>
  <c r="J579" i="6"/>
  <c r="J573" i="6" s="1"/>
  <c r="K579" i="6"/>
  <c r="L579" i="6"/>
  <c r="L573" i="6" s="1"/>
  <c r="M579" i="6"/>
  <c r="M569" i="6" s="1"/>
  <c r="N579" i="6"/>
  <c r="N573" i="6" s="1"/>
  <c r="O579" i="6"/>
  <c r="E580" i="6"/>
  <c r="F580" i="6"/>
  <c r="G580" i="6"/>
  <c r="H580" i="6"/>
  <c r="I580" i="6"/>
  <c r="J580" i="6"/>
  <c r="K580" i="6"/>
  <c r="K574" i="6" s="1"/>
  <c r="M580" i="6"/>
  <c r="N580" i="6"/>
  <c r="N574" i="6" s="1"/>
  <c r="O580" i="6"/>
  <c r="O574" i="6" s="1"/>
  <c r="F593" i="6"/>
  <c r="H593" i="6"/>
  <c r="I593" i="6"/>
  <c r="J593" i="6"/>
  <c r="L593" i="6"/>
  <c r="M593" i="6"/>
  <c r="N593" i="6"/>
  <c r="F594" i="6"/>
  <c r="G594" i="6"/>
  <c r="I594" i="6"/>
  <c r="J594" i="6"/>
  <c r="K594" i="6"/>
  <c r="L594" i="6"/>
  <c r="M594" i="6"/>
  <c r="N594" i="6"/>
  <c r="O594" i="6"/>
  <c r="G595" i="6"/>
  <c r="H595" i="6"/>
  <c r="I595" i="6"/>
  <c r="J595" i="6"/>
  <c r="L595" i="6"/>
  <c r="L572" i="6" s="1"/>
  <c r="M595" i="6"/>
  <c r="M572" i="6" s="1"/>
  <c r="M14" i="6" s="1"/>
  <c r="N595" i="6"/>
  <c r="N572" i="6" s="1"/>
  <c r="O595" i="6"/>
  <c r="O572" i="6" s="1"/>
  <c r="F596" i="6"/>
  <c r="G596" i="6"/>
  <c r="H596" i="6"/>
  <c r="I596" i="6"/>
  <c r="J596" i="6"/>
  <c r="K596" i="6"/>
  <c r="L596" i="6"/>
  <c r="M596" i="6"/>
  <c r="N596" i="6"/>
  <c r="O596" i="6"/>
  <c r="E596" i="6"/>
  <c r="E594" i="6"/>
  <c r="E595" i="6"/>
  <c r="E593" i="6"/>
  <c r="D601" i="6"/>
  <c r="D600" i="6"/>
  <c r="D599" i="6"/>
  <c r="D598" i="6"/>
  <c r="O597" i="6"/>
  <c r="N597" i="6"/>
  <c r="M597" i="6"/>
  <c r="L597" i="6"/>
  <c r="K597" i="6"/>
  <c r="J597" i="6"/>
  <c r="I597" i="6"/>
  <c r="H597" i="6"/>
  <c r="G597" i="6"/>
  <c r="F597" i="6"/>
  <c r="E59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13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61" i="6"/>
  <c r="I683" i="6"/>
  <c r="Q683" i="6" s="1"/>
  <c r="I470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68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35" i="6"/>
  <c r="D534" i="6"/>
  <c r="D533" i="6"/>
  <c r="D532" i="6"/>
  <c r="O531" i="6"/>
  <c r="N531" i="6"/>
  <c r="M531" i="6"/>
  <c r="I531" i="6"/>
  <c r="H531" i="6"/>
  <c r="G531" i="6"/>
  <c r="F531" i="6"/>
  <c r="E531" i="6"/>
  <c r="I52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04" i="6"/>
  <c r="D513" i="6"/>
  <c r="D511" i="6"/>
  <c r="D510" i="6"/>
  <c r="M118" i="5"/>
  <c r="I790" i="6"/>
  <c r="I785" i="6" s="1"/>
  <c r="I782" i="6" s="1"/>
  <c r="I780" i="6" s="1"/>
  <c r="I659" i="6"/>
  <c r="I656" i="6" s="1"/>
  <c r="I644" i="6"/>
  <c r="I557" i="6"/>
  <c r="D557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87" i="6"/>
  <c r="I624" i="6"/>
  <c r="D624" i="6" s="1"/>
  <c r="I675" i="6"/>
  <c r="I634" i="6"/>
  <c r="D634" i="6" s="1"/>
  <c r="I433" i="6"/>
  <c r="I482" i="6"/>
  <c r="I479" i="6" s="1"/>
  <c r="I475" i="6"/>
  <c r="I443" i="6"/>
  <c r="I561" i="6"/>
  <c r="M76" i="5"/>
  <c r="H76" i="5" s="1"/>
  <c r="Q85" i="5"/>
  <c r="H85" i="5" s="1"/>
  <c r="I91" i="5"/>
  <c r="D686" i="6"/>
  <c r="D687" i="6"/>
  <c r="D685" i="6"/>
  <c r="D684" i="6"/>
  <c r="O683" i="6"/>
  <c r="N683" i="6"/>
  <c r="M683" i="6"/>
  <c r="L683" i="6"/>
  <c r="K683" i="6"/>
  <c r="J683" i="6"/>
  <c r="H683" i="6"/>
  <c r="G683" i="6"/>
  <c r="E683" i="6"/>
  <c r="F683" i="6"/>
  <c r="J91" i="5"/>
  <c r="K91" i="5"/>
  <c r="L91" i="5"/>
  <c r="O91" i="5"/>
  <c r="P91" i="5"/>
  <c r="Q91" i="5"/>
  <c r="R91" i="5"/>
  <c r="S91" i="5"/>
  <c r="H108" i="5"/>
  <c r="M40" i="5"/>
  <c r="M17" i="5" s="1"/>
  <c r="L441" i="6"/>
  <c r="M441" i="6"/>
  <c r="N441" i="6"/>
  <c r="O441" i="6"/>
  <c r="L431" i="6"/>
  <c r="M431" i="6"/>
  <c r="N431" i="6"/>
  <c r="O431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3" i="6"/>
  <c r="D784" i="6"/>
  <c r="D786" i="6"/>
  <c r="D788" i="6"/>
  <c r="D789" i="6"/>
  <c r="D791" i="6"/>
  <c r="D747" i="6"/>
  <c r="D749" i="6"/>
  <c r="D679" i="6"/>
  <c r="D680" i="6"/>
  <c r="D681" i="6"/>
  <c r="D682" i="6"/>
  <c r="D673" i="6"/>
  <c r="D674" i="6"/>
  <c r="D676" i="6"/>
  <c r="D677" i="6"/>
  <c r="D667" i="6"/>
  <c r="D668" i="6"/>
  <c r="D669" i="6"/>
  <c r="D670" i="6"/>
  <c r="D671" i="6"/>
  <c r="D662" i="6"/>
  <c r="D664" i="6"/>
  <c r="D665" i="6"/>
  <c r="D657" i="6"/>
  <c r="D658" i="6"/>
  <c r="D660" i="6"/>
  <c r="D652" i="6"/>
  <c r="D653" i="6"/>
  <c r="D654" i="6"/>
  <c r="D655" i="6"/>
  <c r="D647" i="6"/>
  <c r="D649" i="6"/>
  <c r="D650" i="6"/>
  <c r="D642" i="6"/>
  <c r="D643" i="6"/>
  <c r="D645" i="6"/>
  <c r="D637" i="6"/>
  <c r="D638" i="6"/>
  <c r="D639" i="6"/>
  <c r="D640" i="6"/>
  <c r="D632" i="6"/>
  <c r="D633" i="6"/>
  <c r="D635" i="6"/>
  <c r="D627" i="6"/>
  <c r="D628" i="6"/>
  <c r="D629" i="6"/>
  <c r="D630" i="6"/>
  <c r="D622" i="6"/>
  <c r="D623" i="6"/>
  <c r="D625" i="6"/>
  <c r="D588" i="6"/>
  <c r="D589" i="6"/>
  <c r="D590" i="6"/>
  <c r="D591" i="6"/>
  <c r="D582" i="6"/>
  <c r="D583" i="6"/>
  <c r="D584" i="6"/>
  <c r="D585" i="6"/>
  <c r="D586" i="6"/>
  <c r="D564" i="6"/>
  <c r="D565" i="6"/>
  <c r="D566" i="6"/>
  <c r="D567" i="6"/>
  <c r="D559" i="6"/>
  <c r="D560" i="6"/>
  <c r="D562" i="6"/>
  <c r="E563" i="6"/>
  <c r="F563" i="6"/>
  <c r="G563" i="6"/>
  <c r="H563" i="6"/>
  <c r="I563" i="6"/>
  <c r="J563" i="6"/>
  <c r="K563" i="6"/>
  <c r="L563" i="6"/>
  <c r="M563" i="6"/>
  <c r="N563" i="6"/>
  <c r="O563" i="6"/>
  <c r="D554" i="6"/>
  <c r="D555" i="6"/>
  <c r="D556" i="6"/>
  <c r="D490" i="6"/>
  <c r="D491" i="6"/>
  <c r="D493" i="6"/>
  <c r="D486" i="6"/>
  <c r="D488" i="6"/>
  <c r="D485" i="6"/>
  <c r="D480" i="6"/>
  <c r="D481" i="6"/>
  <c r="D483" i="6"/>
  <c r="D473" i="6"/>
  <c r="D474" i="6"/>
  <c r="D476" i="6"/>
  <c r="D477" i="6"/>
  <c r="D478" i="6"/>
  <c r="D471" i="6"/>
  <c r="D452" i="6"/>
  <c r="D453" i="6"/>
  <c r="D454" i="6"/>
  <c r="D455" i="6"/>
  <c r="D447" i="6"/>
  <c r="D448" i="6"/>
  <c r="D449" i="6"/>
  <c r="D450" i="6"/>
  <c r="D442" i="6"/>
  <c r="D444" i="6"/>
  <c r="D445" i="6"/>
  <c r="D437" i="6"/>
  <c r="D438" i="6"/>
  <c r="D439" i="6"/>
  <c r="D440" i="6"/>
  <c r="D432" i="6"/>
  <c r="D434" i="6"/>
  <c r="D435" i="6"/>
  <c r="D427" i="6"/>
  <c r="D428" i="6"/>
  <c r="D429" i="6"/>
  <c r="D430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72" i="6"/>
  <c r="M672" i="6"/>
  <c r="M785" i="6"/>
  <c r="M780" i="6" s="1"/>
  <c r="L785" i="6"/>
  <c r="L782" i="6" s="1"/>
  <c r="L787" i="6"/>
  <c r="L672" i="6"/>
  <c r="O672" i="6"/>
  <c r="M78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52" i="6"/>
  <c r="M552" i="6"/>
  <c r="M547" i="6" s="1"/>
  <c r="M17" i="6" s="1"/>
  <c r="N552" i="6"/>
  <c r="N547" i="6" s="1"/>
  <c r="N17" i="6" s="1"/>
  <c r="O552" i="6"/>
  <c r="O547" i="6" s="1"/>
  <c r="O17" i="6" s="1"/>
  <c r="L550" i="6"/>
  <c r="M550" i="6"/>
  <c r="N550" i="6"/>
  <c r="O550" i="6"/>
  <c r="L549" i="6"/>
  <c r="L544" i="6" s="1"/>
  <c r="M549" i="6"/>
  <c r="M544" i="6" s="1"/>
  <c r="N549" i="6"/>
  <c r="N544" i="6" s="1"/>
  <c r="O549" i="6"/>
  <c r="O544" i="6" s="1"/>
  <c r="L545" i="6"/>
  <c r="M545" i="6"/>
  <c r="N545" i="6"/>
  <c r="O545" i="6"/>
  <c r="L609" i="6"/>
  <c r="M609" i="6"/>
  <c r="N609" i="6"/>
  <c r="O609" i="6"/>
  <c r="L603" i="6"/>
  <c r="M603" i="6"/>
  <c r="N603" i="6"/>
  <c r="O603" i="6"/>
  <c r="N604" i="6"/>
  <c r="L611" i="6"/>
  <c r="M611" i="6"/>
  <c r="N611" i="6"/>
  <c r="O611" i="6"/>
  <c r="L631" i="6"/>
  <c r="M574" i="6"/>
  <c r="M573" i="6"/>
  <c r="O573" i="6"/>
  <c r="L587" i="6"/>
  <c r="M587" i="6"/>
  <c r="N587" i="6"/>
  <c r="O587" i="6"/>
  <c r="L581" i="6"/>
  <c r="M581" i="6"/>
  <c r="N581" i="6"/>
  <c r="O581" i="6"/>
  <c r="L558" i="6"/>
  <c r="M558" i="6"/>
  <c r="N558" i="6"/>
  <c r="O558" i="6"/>
  <c r="L553" i="6"/>
  <c r="M553" i="6"/>
  <c r="N553" i="6"/>
  <c r="O553" i="6"/>
  <c r="L489" i="6"/>
  <c r="M489" i="6"/>
  <c r="L484" i="6"/>
  <c r="M484" i="6"/>
  <c r="N484" i="6"/>
  <c r="O484" i="6"/>
  <c r="L479" i="6"/>
  <c r="M479" i="6"/>
  <c r="N479" i="6"/>
  <c r="O479" i="6"/>
  <c r="L467" i="6"/>
  <c r="M467" i="6"/>
  <c r="M422" i="6"/>
  <c r="N467" i="6"/>
  <c r="O467" i="6"/>
  <c r="L468" i="6"/>
  <c r="M468" i="6"/>
  <c r="N468" i="6"/>
  <c r="O468" i="6"/>
  <c r="L470" i="6"/>
  <c r="M470" i="6"/>
  <c r="N470" i="6"/>
  <c r="O470" i="6"/>
  <c r="L472" i="6"/>
  <c r="M472" i="6"/>
  <c r="N472" i="6"/>
  <c r="O472" i="6"/>
  <c r="L422" i="6"/>
  <c r="N422" i="6"/>
  <c r="O422" i="6"/>
  <c r="L425" i="6"/>
  <c r="M425" i="6"/>
  <c r="N425" i="6"/>
  <c r="O425" i="6"/>
  <c r="L423" i="6"/>
  <c r="M423" i="6"/>
  <c r="N423" i="6"/>
  <c r="O423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21" i="6"/>
  <c r="M621" i="6"/>
  <c r="N621" i="6"/>
  <c r="O621" i="6"/>
  <c r="L626" i="6"/>
  <c r="M626" i="6"/>
  <c r="N626" i="6"/>
  <c r="O626" i="6"/>
  <c r="L781" i="6"/>
  <c r="M781" i="6"/>
  <c r="N781" i="6"/>
  <c r="O781" i="6"/>
  <c r="L778" i="6"/>
  <c r="M778" i="6"/>
  <c r="N778" i="6"/>
  <c r="O778" i="6"/>
  <c r="L779" i="6"/>
  <c r="L739" i="6" s="1"/>
  <c r="L738" i="6" s="1"/>
  <c r="M779" i="6"/>
  <c r="M739" i="6" s="1"/>
  <c r="M738" i="6" s="1"/>
  <c r="N779" i="6"/>
  <c r="N739" i="6" s="1"/>
  <c r="N738" i="6" s="1"/>
  <c r="O779" i="6"/>
  <c r="O739" i="6" s="1"/>
  <c r="O738" i="6" s="1"/>
  <c r="L678" i="6"/>
  <c r="M678" i="6"/>
  <c r="N678" i="6"/>
  <c r="O678" i="6"/>
  <c r="L646" i="6"/>
  <c r="M646" i="6"/>
  <c r="N646" i="6"/>
  <c r="O646" i="6"/>
  <c r="L641" i="6"/>
  <c r="M641" i="6"/>
  <c r="N641" i="6"/>
  <c r="O641" i="6"/>
  <c r="L656" i="6"/>
  <c r="M656" i="6"/>
  <c r="N656" i="6"/>
  <c r="O656" i="6"/>
  <c r="L661" i="6"/>
  <c r="M661" i="6"/>
  <c r="N661" i="6"/>
  <c r="O661" i="6"/>
  <c r="L666" i="6"/>
  <c r="M666" i="6"/>
  <c r="N666" i="6"/>
  <c r="O666" i="6"/>
  <c r="O746" i="6"/>
  <c r="O745" i="6" s="1"/>
  <c r="N746" i="6"/>
  <c r="N745" i="6" s="1"/>
  <c r="M746" i="6"/>
  <c r="M745" i="6" s="1"/>
  <c r="L746" i="6"/>
  <c r="L745" i="6" s="1"/>
  <c r="O651" i="6"/>
  <c r="N651" i="6"/>
  <c r="M651" i="6"/>
  <c r="L651" i="6"/>
  <c r="O636" i="6"/>
  <c r="N636" i="6"/>
  <c r="M636" i="6"/>
  <c r="L636" i="6"/>
  <c r="N616" i="6"/>
  <c r="M616" i="6"/>
  <c r="L616" i="6"/>
  <c r="L436" i="6"/>
  <c r="M436" i="6"/>
  <c r="N436" i="6"/>
  <c r="O436" i="6"/>
  <c r="L426" i="6"/>
  <c r="M426" i="6"/>
  <c r="N426" i="6"/>
  <c r="O426" i="6"/>
  <c r="N785" i="6"/>
  <c r="N780" i="6" s="1"/>
  <c r="N489" i="6"/>
  <c r="L569" i="6"/>
  <c r="O569" i="6"/>
  <c r="N569" i="6"/>
  <c r="N787" i="6"/>
  <c r="L592" i="6"/>
  <c r="N592" i="6"/>
  <c r="O787" i="6"/>
  <c r="O785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51" i="6"/>
  <c r="N451" i="6"/>
  <c r="M451" i="6"/>
  <c r="L451" i="6"/>
  <c r="O446" i="6"/>
  <c r="N446" i="6"/>
  <c r="M446" i="6"/>
  <c r="L446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69" i="6"/>
  <c r="G469" i="6"/>
  <c r="H469" i="6"/>
  <c r="J469" i="6"/>
  <c r="K24" i="6"/>
  <c r="E469" i="6"/>
  <c r="K489" i="6"/>
  <c r="J489" i="6"/>
  <c r="I489" i="6"/>
  <c r="H489" i="6"/>
  <c r="G489" i="6"/>
  <c r="F489" i="6"/>
  <c r="E489" i="6"/>
  <c r="J66" i="5"/>
  <c r="K66" i="5"/>
  <c r="L66" i="5"/>
  <c r="N66" i="5"/>
  <c r="O66" i="5"/>
  <c r="I66" i="5"/>
  <c r="J678" i="6"/>
  <c r="D201" i="6"/>
  <c r="D203" i="6"/>
  <c r="U102" i="5"/>
  <c r="I612" i="6"/>
  <c r="E740" i="6"/>
  <c r="F740" i="6"/>
  <c r="F612" i="6" s="1"/>
  <c r="F604" i="6" s="1"/>
  <c r="G740" i="6"/>
  <c r="H740" i="6"/>
  <c r="H612" i="6" s="1"/>
  <c r="H604" i="6" s="1"/>
  <c r="I740" i="6"/>
  <c r="E742" i="6"/>
  <c r="F742" i="6"/>
  <c r="F613" i="6" s="1"/>
  <c r="G742" i="6"/>
  <c r="G613" i="6" s="1"/>
  <c r="H742" i="6"/>
  <c r="H613" i="6" s="1"/>
  <c r="I742" i="6"/>
  <c r="K742" i="6"/>
  <c r="K606" i="6" s="1"/>
  <c r="K744" i="6"/>
  <c r="I751" i="6"/>
  <c r="I744" i="6" s="1"/>
  <c r="H751" i="6"/>
  <c r="H744" i="6" s="1"/>
  <c r="G751" i="6"/>
  <c r="G744" i="6" s="1"/>
  <c r="F751" i="6"/>
  <c r="F744" i="6" s="1"/>
  <c r="E751" i="6"/>
  <c r="K746" i="6"/>
  <c r="K745" i="6" s="1"/>
  <c r="J746" i="6"/>
  <c r="J745" i="6" s="1"/>
  <c r="I746" i="6"/>
  <c r="I739" i="6" s="1"/>
  <c r="H746" i="6"/>
  <c r="G746" i="6"/>
  <c r="F746" i="6"/>
  <c r="F739" i="6" s="1"/>
  <c r="E746" i="6"/>
  <c r="K236" i="6"/>
  <c r="J236" i="6"/>
  <c r="I236" i="6"/>
  <c r="H236" i="6"/>
  <c r="G236" i="6"/>
  <c r="F236" i="6"/>
  <c r="E236" i="6"/>
  <c r="I468" i="6"/>
  <c r="E468" i="6"/>
  <c r="F468" i="6"/>
  <c r="G468" i="6"/>
  <c r="H468" i="6"/>
  <c r="K468" i="6"/>
  <c r="E470" i="6"/>
  <c r="F470" i="6"/>
  <c r="G470" i="6"/>
  <c r="H470" i="6"/>
  <c r="J470" i="6"/>
  <c r="K470" i="6"/>
  <c r="F467" i="6"/>
  <c r="G467" i="6"/>
  <c r="H467" i="6"/>
  <c r="I467" i="6"/>
  <c r="J467" i="6"/>
  <c r="K467" i="6"/>
  <c r="E467" i="6"/>
  <c r="K484" i="6"/>
  <c r="J484" i="6"/>
  <c r="H484" i="6"/>
  <c r="G484" i="6"/>
  <c r="F484" i="6"/>
  <c r="E484" i="6"/>
  <c r="K231" i="6"/>
  <c r="J231" i="6"/>
  <c r="I231" i="6"/>
  <c r="H231" i="6"/>
  <c r="G231" i="6"/>
  <c r="F231" i="6"/>
  <c r="E231" i="6"/>
  <c r="E424" i="6"/>
  <c r="H552" i="6"/>
  <c r="H547" i="6" s="1"/>
  <c r="F423" i="6"/>
  <c r="G423" i="6"/>
  <c r="H423" i="6"/>
  <c r="I422" i="6"/>
  <c r="I424" i="6"/>
  <c r="I425" i="6"/>
  <c r="K423" i="6"/>
  <c r="E423" i="6"/>
  <c r="F424" i="6"/>
  <c r="G424" i="6"/>
  <c r="H424" i="6"/>
  <c r="J424" i="6"/>
  <c r="K661" i="6"/>
  <c r="J661" i="6"/>
  <c r="H661" i="6"/>
  <c r="G661" i="6"/>
  <c r="F661" i="6"/>
  <c r="E661" i="6"/>
  <c r="K646" i="6"/>
  <c r="I646" i="6"/>
  <c r="H646" i="6"/>
  <c r="G646" i="6"/>
  <c r="F646" i="6"/>
  <c r="E646" i="6"/>
  <c r="E651" i="6"/>
  <c r="F651" i="6"/>
  <c r="G651" i="6"/>
  <c r="H651" i="6"/>
  <c r="I651" i="6"/>
  <c r="K626" i="6"/>
  <c r="J626" i="6"/>
  <c r="I626" i="6"/>
  <c r="H626" i="6"/>
  <c r="G626" i="6"/>
  <c r="F626" i="6"/>
  <c r="E626" i="6"/>
  <c r="K441" i="6"/>
  <c r="J441" i="6"/>
  <c r="H441" i="6"/>
  <c r="G441" i="6"/>
  <c r="F441" i="6"/>
  <c r="E441" i="6"/>
  <c r="K431" i="6"/>
  <c r="I431" i="6"/>
  <c r="H431" i="6"/>
  <c r="G431" i="6"/>
  <c r="F431" i="6"/>
  <c r="E431" i="6"/>
  <c r="L83" i="5"/>
  <c r="L79" i="5" s="1"/>
  <c r="G61" i="6"/>
  <c r="H61" i="6"/>
  <c r="I61" i="6"/>
  <c r="Q61" i="6" s="1"/>
  <c r="J61" i="6"/>
  <c r="K61" i="6"/>
  <c r="F61" i="6"/>
  <c r="I552" i="6"/>
  <c r="I54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09" i="6"/>
  <c r="K609" i="6"/>
  <c r="K603" i="6"/>
  <c r="K611" i="6"/>
  <c r="K610" i="6" s="1"/>
  <c r="J779" i="6"/>
  <c r="K779" i="6"/>
  <c r="J781" i="6"/>
  <c r="K781" i="6"/>
  <c r="K778" i="6"/>
  <c r="K785" i="6"/>
  <c r="K782" i="6" s="1"/>
  <c r="K787" i="6"/>
  <c r="K678" i="6"/>
  <c r="K672" i="6"/>
  <c r="K666" i="6"/>
  <c r="K656" i="6"/>
  <c r="K651" i="6"/>
  <c r="K641" i="6"/>
  <c r="K636" i="6"/>
  <c r="K631" i="6"/>
  <c r="K621" i="6"/>
  <c r="K573" i="6"/>
  <c r="K587" i="6"/>
  <c r="K581" i="6"/>
  <c r="K545" i="6"/>
  <c r="K552" i="6"/>
  <c r="K547" i="6" s="1"/>
  <c r="K17" i="6" s="1"/>
  <c r="K551" i="6"/>
  <c r="K546" i="6" s="1"/>
  <c r="K550" i="6"/>
  <c r="K549" i="6"/>
  <c r="K544" i="6" s="1"/>
  <c r="K553" i="6"/>
  <c r="J552" i="6"/>
  <c r="J547" i="6" s="1"/>
  <c r="J17" i="6" s="1"/>
  <c r="K558" i="6"/>
  <c r="K569" i="6"/>
  <c r="K184" i="6"/>
  <c r="K479" i="6"/>
  <c r="K472" i="6"/>
  <c r="K451" i="6"/>
  <c r="K446" i="6"/>
  <c r="K436" i="6"/>
  <c r="K422" i="6"/>
  <c r="K425" i="6"/>
  <c r="K426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50" i="6"/>
  <c r="G550" i="6"/>
  <c r="G549" i="6"/>
  <c r="G544" i="6" s="1"/>
  <c r="G551" i="6"/>
  <c r="G546" i="6" s="1"/>
  <c r="G552" i="6"/>
  <c r="G547" i="6" s="1"/>
  <c r="G17" i="6" s="1"/>
  <c r="H550" i="6"/>
  <c r="I550" i="6"/>
  <c r="J550" i="6"/>
  <c r="E550" i="6"/>
  <c r="E545" i="6" s="1"/>
  <c r="F551" i="6"/>
  <c r="F546" i="6" s="1"/>
  <c r="H551" i="6"/>
  <c r="H546" i="6" s="1"/>
  <c r="J551" i="6"/>
  <c r="J546" i="6" s="1"/>
  <c r="J549" i="6"/>
  <c r="J544" i="6" s="1"/>
  <c r="E551" i="6"/>
  <c r="E54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52" i="6"/>
  <c r="F547" i="6" s="1"/>
  <c r="F17" i="6" s="1"/>
  <c r="E552" i="6"/>
  <c r="E547" i="6" s="1"/>
  <c r="E17" i="6" s="1"/>
  <c r="F549" i="6"/>
  <c r="F544" i="6" s="1"/>
  <c r="H549" i="6"/>
  <c r="H544" i="6" s="1"/>
  <c r="I549" i="6"/>
  <c r="I544" i="6" s="1"/>
  <c r="E549" i="6"/>
  <c r="E544" i="6" s="1"/>
  <c r="H184" i="6"/>
  <c r="J785" i="6"/>
  <c r="J780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78" i="6"/>
  <c r="G678" i="6"/>
  <c r="E678" i="6"/>
  <c r="H678" i="6"/>
  <c r="I678" i="6"/>
  <c r="G38" i="6"/>
  <c r="H672" i="6"/>
  <c r="I672" i="6"/>
  <c r="J672" i="6"/>
  <c r="F672" i="6"/>
  <c r="G672" i="6"/>
  <c r="J451" i="6"/>
  <c r="I451" i="6"/>
  <c r="H451" i="6"/>
  <c r="G451" i="6"/>
  <c r="F451" i="6"/>
  <c r="E451" i="6"/>
  <c r="E129" i="6"/>
  <c r="I35" i="6"/>
  <c r="J75" i="5"/>
  <c r="K75" i="5"/>
  <c r="L75" i="5"/>
  <c r="N75" i="5"/>
  <c r="I75" i="5"/>
  <c r="H785" i="6"/>
  <c r="H782" i="6" s="1"/>
  <c r="H780" i="6" s="1"/>
  <c r="G785" i="6"/>
  <c r="G782" i="6" s="1"/>
  <c r="G780" i="6" s="1"/>
  <c r="G631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85" i="6"/>
  <c r="E780" i="6" s="1"/>
  <c r="F785" i="6"/>
  <c r="F780" i="6" s="1"/>
  <c r="F178" i="6"/>
  <c r="G178" i="6"/>
  <c r="H178" i="6"/>
  <c r="I178" i="6"/>
  <c r="J178" i="6"/>
  <c r="E178" i="6"/>
  <c r="D180" i="6"/>
  <c r="D179" i="6"/>
  <c r="E182" i="6"/>
  <c r="E35" i="6" s="1"/>
  <c r="D181" i="6"/>
  <c r="E422" i="6"/>
  <c r="F422" i="6"/>
  <c r="G422" i="6"/>
  <c r="H422" i="6"/>
  <c r="J422" i="6"/>
  <c r="E425" i="6"/>
  <c r="F425" i="6"/>
  <c r="G425" i="6"/>
  <c r="H425" i="6"/>
  <c r="J425" i="6"/>
  <c r="E426" i="6"/>
  <c r="F426" i="6"/>
  <c r="G426" i="6"/>
  <c r="H426" i="6"/>
  <c r="I426" i="6"/>
  <c r="J426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36" i="6"/>
  <c r="F636" i="6"/>
  <c r="G636" i="6"/>
  <c r="H636" i="6"/>
  <c r="I636" i="6"/>
  <c r="J636" i="6"/>
  <c r="E631" i="6"/>
  <c r="F631" i="6"/>
  <c r="D620" i="6"/>
  <c r="J616" i="6"/>
  <c r="H616" i="6"/>
  <c r="G616" i="6"/>
  <c r="F616" i="6"/>
  <c r="E616" i="6"/>
  <c r="J787" i="6"/>
  <c r="H787" i="6"/>
  <c r="G787" i="6"/>
  <c r="F787" i="6"/>
  <c r="E787" i="6"/>
  <c r="E446" i="6"/>
  <c r="F446" i="6"/>
  <c r="G446" i="6"/>
  <c r="H446" i="6"/>
  <c r="I446" i="6"/>
  <c r="J446" i="6"/>
  <c r="D579" i="6"/>
  <c r="G573" i="6"/>
  <c r="G569" i="6"/>
  <c r="J569" i="6"/>
  <c r="H569" i="6"/>
  <c r="F569" i="6"/>
  <c r="E573" i="6"/>
  <c r="D619" i="6"/>
  <c r="I616" i="6"/>
  <c r="J80" i="5"/>
  <c r="J11" i="5" s="1"/>
  <c r="F615" i="6"/>
  <c r="G615" i="6"/>
  <c r="H615" i="6"/>
  <c r="I615" i="6"/>
  <c r="E615" i="6"/>
  <c r="F611" i="6"/>
  <c r="G611" i="6"/>
  <c r="H611" i="6"/>
  <c r="I611" i="6"/>
  <c r="J611" i="6"/>
  <c r="E61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51" i="6"/>
  <c r="E675" i="6"/>
  <c r="D67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81" i="6"/>
  <c r="F581" i="6"/>
  <c r="G581" i="6"/>
  <c r="H581" i="6"/>
  <c r="I581" i="6"/>
  <c r="J581" i="6"/>
  <c r="E587" i="6"/>
  <c r="F587" i="6"/>
  <c r="G587" i="6"/>
  <c r="H587" i="6"/>
  <c r="I587" i="6"/>
  <c r="J587" i="6"/>
  <c r="F574" i="6"/>
  <c r="G574" i="6"/>
  <c r="H574" i="6"/>
  <c r="I574" i="6"/>
  <c r="J57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66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78" i="6"/>
  <c r="H779" i="6"/>
  <c r="H781" i="6"/>
  <c r="G778" i="6"/>
  <c r="G779" i="6"/>
  <c r="G781" i="6"/>
  <c r="E782" i="6"/>
  <c r="I781" i="6"/>
  <c r="E781" i="6"/>
  <c r="F781" i="6"/>
  <c r="F778" i="6"/>
  <c r="F779" i="6"/>
  <c r="I779" i="6"/>
  <c r="E779" i="6"/>
  <c r="J778" i="6"/>
  <c r="I778" i="6"/>
  <c r="E778" i="6"/>
  <c r="G666" i="6"/>
  <c r="F666" i="6"/>
  <c r="E656" i="6"/>
  <c r="G641" i="6"/>
  <c r="E641" i="6"/>
  <c r="F641" i="6"/>
  <c r="H641" i="6"/>
  <c r="I641" i="6"/>
  <c r="J641" i="6"/>
  <c r="J621" i="6"/>
  <c r="G621" i="6"/>
  <c r="F621" i="6"/>
  <c r="E621" i="6"/>
  <c r="I609" i="6"/>
  <c r="G609" i="6"/>
  <c r="F609" i="6"/>
  <c r="E609" i="6"/>
  <c r="J603" i="6"/>
  <c r="H603" i="6"/>
  <c r="G603" i="6"/>
  <c r="F603" i="6"/>
  <c r="J558" i="6"/>
  <c r="I558" i="6"/>
  <c r="H558" i="6"/>
  <c r="G558" i="6"/>
  <c r="F558" i="6"/>
  <c r="E558" i="6"/>
  <c r="J553" i="6"/>
  <c r="I553" i="6"/>
  <c r="H553" i="6"/>
  <c r="G553" i="6"/>
  <c r="F553" i="6"/>
  <c r="E553" i="6"/>
  <c r="J545" i="6"/>
  <c r="I545" i="6"/>
  <c r="H545" i="6"/>
  <c r="G545" i="6"/>
  <c r="F545" i="6"/>
  <c r="J479" i="6"/>
  <c r="H479" i="6"/>
  <c r="G479" i="6"/>
  <c r="F479" i="6"/>
  <c r="E479" i="6"/>
  <c r="J472" i="6"/>
  <c r="I472" i="6"/>
  <c r="H472" i="6"/>
  <c r="G472" i="6"/>
  <c r="F472" i="6"/>
  <c r="E472" i="6"/>
  <c r="J436" i="6"/>
  <c r="I436" i="6"/>
  <c r="H436" i="6"/>
  <c r="G436" i="6"/>
  <c r="F436" i="6"/>
  <c r="E436" i="6"/>
  <c r="J113" i="5"/>
  <c r="K113" i="5"/>
  <c r="E575" i="6"/>
  <c r="D45" i="6"/>
  <c r="G612" i="6"/>
  <c r="G604" i="6" s="1"/>
  <c r="E612" i="6"/>
  <c r="E604" i="6" s="1"/>
  <c r="J164" i="6"/>
  <c r="D42" i="6"/>
  <c r="G656" i="6"/>
  <c r="H666" i="6"/>
  <c r="H621" i="6"/>
  <c r="F656" i="6"/>
  <c r="M113" i="5"/>
  <c r="F38" i="6"/>
  <c r="E38" i="6"/>
  <c r="H38" i="6"/>
  <c r="L113" i="5"/>
  <c r="I38" i="6"/>
  <c r="I666" i="6"/>
  <c r="J666" i="6"/>
  <c r="H656" i="6"/>
  <c r="I158" i="6"/>
  <c r="J35" i="6"/>
  <c r="J38" i="6"/>
  <c r="H631" i="6"/>
  <c r="I631" i="6"/>
  <c r="J656" i="6"/>
  <c r="J631" i="6"/>
  <c r="O78" i="5"/>
  <c r="I484" i="6"/>
  <c r="D487" i="6"/>
  <c r="H97" i="5"/>
  <c r="I79" i="5"/>
  <c r="L547" i="6"/>
  <c r="L17" i="6" s="1"/>
  <c r="L780" i="6"/>
  <c r="K90" i="5"/>
  <c r="G19" i="6"/>
  <c r="L114" i="5"/>
  <c r="L89" i="5"/>
  <c r="L171" i="6"/>
  <c r="N81" i="5"/>
  <c r="I89" i="5"/>
  <c r="D663" i="6"/>
  <c r="S15" i="5"/>
  <c r="K753" i="6"/>
  <c r="K752" i="6" s="1"/>
  <c r="D475" i="6"/>
  <c r="D761" i="6"/>
  <c r="G753" i="6"/>
  <c r="I752" i="6"/>
  <c r="I81" i="5"/>
  <c r="P79" i="5"/>
  <c r="M631" i="6"/>
  <c r="D134" i="6"/>
  <c r="I80" i="5"/>
  <c r="I11" i="5" s="1"/>
  <c r="O77" i="5"/>
  <c r="R90" i="5"/>
  <c r="J739" i="6"/>
  <c r="O604" i="6"/>
  <c r="N548" i="6"/>
  <c r="S79" i="5"/>
  <c r="R118" i="5"/>
  <c r="S118" i="5" s="1"/>
  <c r="S113" i="5" s="1"/>
  <c r="Q115" i="5"/>
  <c r="R115" i="5" s="1"/>
  <c r="I551" i="6"/>
  <c r="I546" i="6" s="1"/>
  <c r="D561" i="6"/>
  <c r="H68" i="5"/>
  <c r="M66" i="5"/>
  <c r="P646" i="6"/>
  <c r="D644" i="6"/>
  <c r="M115" i="5"/>
  <c r="M114" i="5" s="1"/>
  <c r="H19" i="6"/>
  <c r="H87" i="5"/>
  <c r="M84" i="5"/>
  <c r="M77" i="5" s="1"/>
  <c r="N631" i="6"/>
  <c r="O631" i="6"/>
  <c r="N31" i="6" l="1"/>
  <c r="N21" i="6" s="1"/>
  <c r="M31" i="6"/>
  <c r="N34" i="6"/>
  <c r="N24" i="6" s="1"/>
  <c r="L602" i="6"/>
  <c r="E13" i="6"/>
  <c r="D13" i="6" s="1"/>
  <c r="D23" i="6"/>
  <c r="L31" i="6"/>
  <c r="M21" i="6"/>
  <c r="H592" i="6"/>
  <c r="J423" i="6"/>
  <c r="G592" i="6"/>
  <c r="D616" i="6"/>
  <c r="D593" i="6"/>
  <c r="G575" i="6"/>
  <c r="I423" i="6"/>
  <c r="J738" i="6"/>
  <c r="M171" i="6"/>
  <c r="K739" i="6"/>
  <c r="I757" i="6"/>
  <c r="G752" i="6"/>
  <c r="I621" i="6"/>
  <c r="F24" i="6"/>
  <c r="I25" i="6"/>
  <c r="I15" i="6" s="1"/>
  <c r="J431" i="6"/>
  <c r="I441" i="6"/>
  <c r="D441" i="6" s="1"/>
  <c r="J646" i="6"/>
  <c r="D492" i="6"/>
  <c r="O489" i="6"/>
  <c r="D433" i="6"/>
  <c r="K21" i="6"/>
  <c r="H84" i="5"/>
  <c r="L14" i="5"/>
  <c r="J14" i="5"/>
  <c r="Q83" i="5"/>
  <c r="Q116" i="5"/>
  <c r="R116" i="5" s="1"/>
  <c r="S116" i="5" s="1"/>
  <c r="D482" i="6"/>
  <c r="H106" i="5"/>
  <c r="D264" i="6"/>
  <c r="J753" i="6"/>
  <c r="J752" i="6" s="1"/>
  <c r="G757" i="6"/>
  <c r="R14" i="5"/>
  <c r="P77" i="5"/>
  <c r="O592" i="6"/>
  <c r="N575" i="6"/>
  <c r="D182" i="6"/>
  <c r="L28" i="6"/>
  <c r="I571" i="6"/>
  <c r="E87" i="6"/>
  <c r="M543" i="6"/>
  <c r="O782" i="6"/>
  <c r="O780" i="6"/>
  <c r="H105" i="5"/>
  <c r="D443" i="6"/>
  <c r="O89" i="5"/>
  <c r="S14" i="5"/>
  <c r="S13" i="5" s="1"/>
  <c r="H46" i="5"/>
  <c r="E752" i="6"/>
  <c r="D578" i="6"/>
  <c r="H745" i="6"/>
  <c r="E137" i="6"/>
  <c r="N14" i="5"/>
  <c r="J89" i="5"/>
  <c r="N77" i="5"/>
  <c r="K77" i="5"/>
  <c r="J81" i="5"/>
  <c r="Q113" i="5"/>
  <c r="H48" i="5"/>
  <c r="H119" i="5"/>
  <c r="D666" i="6"/>
  <c r="E31" i="6"/>
  <c r="D636" i="6"/>
  <c r="O88" i="5"/>
  <c r="L77" i="5"/>
  <c r="K14" i="5"/>
  <c r="D626" i="6"/>
  <c r="D646" i="6"/>
  <c r="K466" i="6"/>
  <c r="H66" i="5"/>
  <c r="J114" i="5"/>
  <c r="N466" i="6"/>
  <c r="Q114" i="5"/>
  <c r="O114" i="5"/>
  <c r="F745" i="6"/>
  <c r="I604" i="6"/>
  <c r="Q90" i="5"/>
  <c r="V94" i="5"/>
  <c r="M80" i="5"/>
  <c r="M11" i="5" s="1"/>
  <c r="H92" i="5"/>
  <c r="D44" i="6"/>
  <c r="D615" i="6"/>
  <c r="I114" i="5"/>
  <c r="Q14" i="5"/>
  <c r="D563" i="6"/>
  <c r="D756" i="6"/>
  <c r="F752" i="6"/>
  <c r="I88" i="5"/>
  <c r="H83" i="5"/>
  <c r="D470" i="6"/>
  <c r="D790" i="6"/>
  <c r="L610" i="6"/>
  <c r="N610" i="6"/>
  <c r="M91" i="5"/>
  <c r="M90" i="5" s="1"/>
  <c r="H117" i="5"/>
  <c r="I469" i="6"/>
  <c r="D469" i="6" s="1"/>
  <c r="K81" i="5"/>
  <c r="J78" i="5"/>
  <c r="I787" i="6"/>
  <c r="F421" i="6"/>
  <c r="J79" i="5"/>
  <c r="M75" i="5"/>
  <c r="H75" i="5" s="1"/>
  <c r="K25" i="6"/>
  <c r="I77" i="5"/>
  <c r="S81" i="5"/>
  <c r="M782" i="6"/>
  <c r="M25" i="6"/>
  <c r="M15" i="6" s="1"/>
  <c r="S77" i="5"/>
  <c r="M89" i="5"/>
  <c r="D656" i="6"/>
  <c r="J15" i="5"/>
  <c r="J13" i="5" s="1"/>
  <c r="N16" i="5"/>
  <c r="N90" i="5"/>
  <c r="O571" i="6"/>
  <c r="F757" i="6"/>
  <c r="D611" i="6"/>
  <c r="Q89" i="5"/>
  <c r="Q88" i="5" s="1"/>
  <c r="I15" i="5"/>
  <c r="I12" i="5" s="1"/>
  <c r="J612" i="6"/>
  <c r="J604" i="6" s="1"/>
  <c r="D751" i="6"/>
  <c r="D740" i="6"/>
  <c r="S12" i="5"/>
  <c r="R77" i="5"/>
  <c r="F738" i="6"/>
  <c r="J31" i="6"/>
  <c r="M74" i="5"/>
  <c r="M73" i="5" s="1"/>
  <c r="H73" i="5" s="1"/>
  <c r="D651" i="6"/>
  <c r="D451" i="6"/>
  <c r="L88" i="5"/>
  <c r="H94" i="5"/>
  <c r="N543" i="6"/>
  <c r="Q77" i="5"/>
  <c r="L12" i="5"/>
  <c r="Q15" i="5"/>
  <c r="J44" i="6"/>
  <c r="J34" i="6"/>
  <c r="I548" i="6"/>
  <c r="H82" i="5"/>
  <c r="E94" i="6"/>
  <c r="G31" i="6"/>
  <c r="P114" i="5"/>
  <c r="G57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44" i="6"/>
  <c r="D744" i="6" s="1"/>
  <c r="P89" i="5"/>
  <c r="I738" i="6"/>
  <c r="N113" i="5"/>
  <c r="H113" i="5" s="1"/>
  <c r="D145" i="6"/>
  <c r="D94" i="6"/>
  <c r="H34" i="6"/>
  <c r="D587" i="6"/>
  <c r="I78" i="5"/>
  <c r="I10" i="5" s="1"/>
  <c r="E739" i="6"/>
  <c r="E745" i="6"/>
  <c r="U110" i="5"/>
  <c r="P90" i="5"/>
  <c r="D659" i="6"/>
  <c r="H40" i="5"/>
  <c r="K15" i="5"/>
  <c r="K12" i="5" s="1"/>
  <c r="E757" i="6"/>
  <c r="O15" i="5"/>
  <c r="O12" i="5" s="1"/>
  <c r="J509" i="6"/>
  <c r="D509" i="6" s="1"/>
  <c r="J507" i="6"/>
  <c r="J504" i="6" s="1"/>
  <c r="K88" i="5"/>
  <c r="G164" i="6"/>
  <c r="G34" i="6"/>
  <c r="I13" i="5"/>
  <c r="H118" i="5"/>
  <c r="I9" i="5"/>
  <c r="M14" i="5"/>
  <c r="H91" i="5"/>
  <c r="H61" i="5"/>
  <c r="D612" i="6"/>
  <c r="R81" i="5"/>
  <c r="O81" i="5"/>
  <c r="D110" i="6"/>
  <c r="D553" i="6"/>
  <c r="E777" i="6"/>
  <c r="D68" i="6"/>
  <c r="F31" i="6"/>
  <c r="F28" i="6" s="1"/>
  <c r="D129" i="6"/>
  <c r="J77" i="5"/>
  <c r="K114" i="5"/>
  <c r="K10" i="5" s="1"/>
  <c r="K9" i="5" s="1"/>
  <c r="H93" i="5"/>
  <c r="L81" i="5"/>
  <c r="G739" i="6"/>
  <c r="G745" i="6"/>
  <c r="L25" i="6"/>
  <c r="S88" i="5"/>
  <c r="M592" i="6"/>
  <c r="H575" i="6"/>
  <c r="H757" i="6"/>
  <c r="N421" i="6"/>
  <c r="R89" i="5"/>
  <c r="R88" i="5" s="1"/>
  <c r="N114" i="5"/>
  <c r="M81" i="5"/>
  <c r="M610" i="6"/>
  <c r="K738" i="6"/>
  <c r="D785" i="6"/>
  <c r="L548" i="6"/>
  <c r="O466" i="6"/>
  <c r="H31" i="6"/>
  <c r="H21" i="6" s="1"/>
  <c r="E548" i="6"/>
  <c r="J610" i="6"/>
  <c r="L80" i="5"/>
  <c r="L11" i="5" s="1"/>
  <c r="D62" i="6"/>
  <c r="P64" i="6" s="1"/>
  <c r="E29" i="6"/>
  <c r="E28" i="6" s="1"/>
  <c r="N89" i="5"/>
  <c r="H116" i="5"/>
  <c r="H25" i="6"/>
  <c r="O14" i="5"/>
  <c r="H17" i="5"/>
  <c r="I745" i="6"/>
  <c r="H18" i="5"/>
  <c r="R15" i="5"/>
  <c r="R13" i="5" s="1"/>
  <c r="I34" i="6"/>
  <c r="P15" i="5"/>
  <c r="P12" i="5" s="1"/>
  <c r="E572" i="6"/>
  <c r="H753" i="6"/>
  <c r="H752" i="6" s="1"/>
  <c r="I613" i="6"/>
  <c r="N15" i="5"/>
  <c r="K592" i="6"/>
  <c r="K575" i="6"/>
  <c r="D594" i="6"/>
  <c r="D742" i="6"/>
  <c r="J592" i="6"/>
  <c r="J575" i="6"/>
  <c r="J606" i="6"/>
  <c r="J602" i="6" s="1"/>
  <c r="K524" i="6"/>
  <c r="M524" i="6"/>
  <c r="D100" i="6"/>
  <c r="D56" i="6"/>
  <c r="D787" i="6"/>
  <c r="E25" i="6"/>
  <c r="E15" i="6" s="1"/>
  <c r="F466" i="6"/>
  <c r="D236" i="6"/>
  <c r="D241" i="6"/>
  <c r="D178" i="6"/>
  <c r="D184" i="6"/>
  <c r="D251" i="6"/>
  <c r="D206" i="6"/>
  <c r="K571" i="6"/>
  <c r="I575" i="6"/>
  <c r="O421" i="6"/>
  <c r="L466" i="6"/>
  <c r="F782" i="6"/>
  <c r="D603" i="6"/>
  <c r="M570" i="6"/>
  <c r="D596" i="6"/>
  <c r="D580" i="6"/>
  <c r="D595" i="6"/>
  <c r="M575" i="6"/>
  <c r="D576" i="6"/>
  <c r="D581" i="6"/>
  <c r="N571" i="6"/>
  <c r="J543" i="6"/>
  <c r="O548" i="6"/>
  <c r="D550" i="6"/>
  <c r="D131" i="6"/>
  <c r="D33" i="6"/>
  <c r="D175" i="6"/>
  <c r="D479" i="6"/>
  <c r="D165" i="6"/>
  <c r="H421" i="6"/>
  <c r="N19" i="6"/>
  <c r="E128" i="6"/>
  <c r="D128" i="6" s="1"/>
  <c r="D35" i="6"/>
  <c r="J25" i="6"/>
  <c r="E74" i="6"/>
  <c r="D38" i="6"/>
  <c r="D211" i="6"/>
  <c r="D221" i="6"/>
  <c r="D226" i="6"/>
  <c r="N25" i="6"/>
  <c r="E504" i="6"/>
  <c r="L504" i="6"/>
  <c r="H504" i="6"/>
  <c r="D525" i="6"/>
  <c r="D526" i="6"/>
  <c r="D114" i="6"/>
  <c r="D168" i="6"/>
  <c r="D50" i="6"/>
  <c r="G421" i="6"/>
  <c r="M466" i="6"/>
  <c r="M19" i="6"/>
  <c r="E291" i="6"/>
  <c r="D291" i="6" s="1"/>
  <c r="D266" i="6"/>
  <c r="D754" i="6"/>
  <c r="D609" i="6"/>
  <c r="M777" i="6"/>
  <c r="O777" i="6"/>
  <c r="N777" i="6"/>
  <c r="K604" i="6"/>
  <c r="D549" i="6"/>
  <c r="K548" i="6"/>
  <c r="F548" i="6"/>
  <c r="D507" i="6"/>
  <c r="D551" i="6"/>
  <c r="D505" i="6"/>
  <c r="H548" i="6"/>
  <c r="J24" i="6"/>
  <c r="F25" i="6"/>
  <c r="F15" i="6" s="1"/>
  <c r="G466" i="6"/>
  <c r="G543" i="6"/>
  <c r="D552" i="6"/>
  <c r="M548" i="6"/>
  <c r="J21" i="6"/>
  <c r="J11" i="6" s="1"/>
  <c r="J466" i="6"/>
  <c r="D573" i="6"/>
  <c r="O575" i="6"/>
  <c r="I592" i="6"/>
  <c r="F575" i="6"/>
  <c r="I569" i="6"/>
  <c r="D569" i="6" s="1"/>
  <c r="I570" i="6"/>
  <c r="O570" i="6"/>
  <c r="J572" i="6"/>
  <c r="D577" i="6"/>
  <c r="G570" i="6"/>
  <c r="F592" i="6"/>
  <c r="E592" i="6"/>
  <c r="L570" i="6"/>
  <c r="D121" i="6"/>
  <c r="N171" i="6"/>
  <c r="E68" i="6"/>
  <c r="D32" i="6"/>
  <c r="D30" i="6"/>
  <c r="D147" i="6"/>
  <c r="D137" i="6"/>
  <c r="O25" i="6"/>
  <c r="J782" i="6"/>
  <c r="L777" i="6"/>
  <c r="D746" i="6"/>
  <c r="D779" i="6"/>
  <c r="D755" i="6"/>
  <c r="I572" i="6"/>
  <c r="F570" i="6"/>
  <c r="F9" i="6" s="1"/>
  <c r="H572" i="6"/>
  <c r="N570" i="6"/>
  <c r="K572" i="6"/>
  <c r="O543" i="6"/>
  <c r="G548" i="6"/>
  <c r="L421" i="6"/>
  <c r="D472" i="6"/>
  <c r="D81" i="6"/>
  <c r="D74" i="6"/>
  <c r="H606" i="6"/>
  <c r="H602" i="6" s="1"/>
  <c r="H610" i="6"/>
  <c r="D631" i="6"/>
  <c r="D621" i="6"/>
  <c r="E81" i="6"/>
  <c r="E144" i="6"/>
  <c r="D144" i="6" s="1"/>
  <c r="D171" i="6"/>
  <c r="I543" i="6"/>
  <c r="D216" i="6"/>
  <c r="K543" i="6"/>
  <c r="H739" i="6"/>
  <c r="H738" i="6" s="1"/>
  <c r="H466" i="6"/>
  <c r="G504" i="6"/>
  <c r="F524" i="6"/>
  <c r="J524" i="6"/>
  <c r="D271" i="6"/>
  <c r="M571" i="6"/>
  <c r="D424" i="6"/>
  <c r="D484" i="6"/>
  <c r="D468" i="6"/>
  <c r="E524" i="6"/>
  <c r="D296" i="6"/>
  <c r="D436" i="6"/>
  <c r="D778" i="6"/>
  <c r="F777" i="6"/>
  <c r="D172" i="6"/>
  <c r="D431" i="6"/>
  <c r="E21" i="6"/>
  <c r="O504" i="6"/>
  <c r="L575" i="6"/>
  <c r="N602" i="6"/>
  <c r="G777" i="6"/>
  <c r="D87" i="6"/>
  <c r="D120" i="6"/>
  <c r="D123" i="6"/>
  <c r="E672" i="6"/>
  <c r="D672" i="6" s="1"/>
  <c r="D446" i="6"/>
  <c r="J421" i="6"/>
  <c r="E421" i="6"/>
  <c r="K421" i="6"/>
  <c r="D661" i="6"/>
  <c r="E466" i="6"/>
  <c r="I466" i="6"/>
  <c r="N782" i="6"/>
  <c r="D683" i="6"/>
  <c r="N504" i="6"/>
  <c r="I504" i="6"/>
  <c r="D508" i="6"/>
  <c r="N524" i="6"/>
  <c r="G524" i="6"/>
  <c r="F571" i="6"/>
  <c r="L571" i="6"/>
  <c r="D281" i="6"/>
  <c r="D286" i="6"/>
  <c r="J777" i="6"/>
  <c r="D781" i="6"/>
  <c r="K780" i="6"/>
  <c r="K777" i="6" s="1"/>
  <c r="H777" i="6"/>
  <c r="G606" i="6"/>
  <c r="G602" i="6" s="1"/>
  <c r="G610" i="6"/>
  <c r="F606" i="6"/>
  <c r="F602" i="6" s="1"/>
  <c r="F610" i="6"/>
  <c r="D641" i="6"/>
  <c r="E613" i="6"/>
  <c r="D678" i="6"/>
  <c r="O610" i="6"/>
  <c r="E570" i="6"/>
  <c r="F572" i="6"/>
  <c r="H571" i="6"/>
  <c r="D597" i="6"/>
  <c r="G572" i="6"/>
  <c r="H570" i="6"/>
  <c r="E571" i="6"/>
  <c r="K570" i="6"/>
  <c r="D547" i="6"/>
  <c r="H17" i="6"/>
  <c r="D17" i="6" s="1"/>
  <c r="F543" i="6"/>
  <c r="D544" i="6"/>
  <c r="D545" i="6"/>
  <c r="E543" i="6"/>
  <c r="L543" i="6"/>
  <c r="D546" i="6"/>
  <c r="D558" i="6"/>
  <c r="J548" i="6"/>
  <c r="H543" i="6"/>
  <c r="H524" i="6"/>
  <c r="D530" i="6"/>
  <c r="D489" i="6"/>
  <c r="L524" i="6"/>
  <c r="D531" i="6"/>
  <c r="G9" i="6"/>
  <c r="L19" i="6"/>
  <c r="J19" i="6"/>
  <c r="J9" i="6" s="1"/>
  <c r="K19" i="6"/>
  <c r="I421" i="6"/>
  <c r="M24" i="6"/>
  <c r="O21" i="6"/>
  <c r="O11" i="6" s="1"/>
  <c r="O19" i="6"/>
  <c r="D528" i="6"/>
  <c r="D426" i="6"/>
  <c r="F504" i="6"/>
  <c r="D506" i="6"/>
  <c r="D467" i="6"/>
  <c r="D422" i="6"/>
  <c r="M421" i="6"/>
  <c r="D425" i="6"/>
  <c r="O524" i="6"/>
  <c r="F10" i="6"/>
  <c r="D10" i="6" s="1"/>
  <c r="D20" i="6"/>
  <c r="E12" i="6"/>
  <c r="D12" i="6" s="1"/>
  <c r="D22" i="6"/>
  <c r="O28" i="6"/>
  <c r="O14" i="6"/>
  <c r="D113" i="6"/>
  <c r="D194" i="6"/>
  <c r="D199" i="6"/>
  <c r="D256" i="6"/>
  <c r="D246" i="6"/>
  <c r="D276" i="6"/>
  <c r="D152" i="6"/>
  <c r="D189" i="6"/>
  <c r="D158" i="6"/>
  <c r="D231" i="6"/>
  <c r="D261" i="6"/>
  <c r="K504" i="6"/>
  <c r="O602" i="6"/>
  <c r="I777" i="6"/>
  <c r="J12" i="5"/>
  <c r="D138" i="6"/>
  <c r="E61" i="6"/>
  <c r="D61" i="6" s="1"/>
  <c r="H54" i="5"/>
  <c r="P81" i="5"/>
  <c r="D758" i="6"/>
  <c r="M16" i="5"/>
  <c r="I19" i="6"/>
  <c r="D15" i="6" l="1"/>
  <c r="D423" i="6"/>
  <c r="D421" i="6" s="1"/>
  <c r="L9" i="6"/>
  <c r="I21" i="6"/>
  <c r="I11" i="6" s="1"/>
  <c r="N568" i="6"/>
  <c r="D29" i="6"/>
  <c r="F21" i="6"/>
  <c r="F18" i="6" s="1"/>
  <c r="Q79" i="5"/>
  <c r="H79" i="5" s="1"/>
  <c r="Q81" i="5"/>
  <c r="E24" i="6"/>
  <c r="D34" i="6"/>
  <c r="K14" i="6"/>
  <c r="K602" i="6"/>
  <c r="K11" i="6"/>
  <c r="L21" i="6"/>
  <c r="L11" i="6" s="1"/>
  <c r="O9" i="6"/>
  <c r="O8" i="6" s="1"/>
  <c r="I24" i="6"/>
  <c r="L9" i="5"/>
  <c r="H77" i="5"/>
  <c r="Q13" i="5"/>
  <c r="D752" i="6"/>
  <c r="D753" i="6"/>
  <c r="H115" i="5"/>
  <c r="J28" i="6"/>
  <c r="G28" i="6"/>
  <c r="D466" i="6"/>
  <c r="U11" i="5"/>
  <c r="M9" i="6"/>
  <c r="H114" i="5"/>
  <c r="J10" i="5"/>
  <c r="P10" i="5"/>
  <c r="D164" i="6"/>
  <c r="G568" i="6"/>
  <c r="H80" i="5"/>
  <c r="N88" i="5"/>
  <c r="K13" i="5"/>
  <c r="H14" i="5"/>
  <c r="P13" i="5"/>
  <c r="E738" i="6"/>
  <c r="H74" i="5"/>
  <c r="H78" i="5"/>
  <c r="S9" i="5"/>
  <c r="H11" i="5"/>
  <c r="P9" i="5"/>
  <c r="N11" i="6"/>
  <c r="O568" i="6"/>
  <c r="D739" i="6"/>
  <c r="D745" i="6"/>
  <c r="H90" i="5"/>
  <c r="G738" i="6"/>
  <c r="N28" i="6"/>
  <c r="R12" i="5"/>
  <c r="R9" i="5" s="1"/>
  <c r="H81" i="5"/>
  <c r="P88" i="5"/>
  <c r="H88" i="5" s="1"/>
  <c r="G24" i="6"/>
  <c r="G14" i="6" s="1"/>
  <c r="I610" i="6"/>
  <c r="I606" i="6"/>
  <c r="I602" i="6" s="1"/>
  <c r="M10" i="5"/>
  <c r="D757" i="6"/>
  <c r="K568" i="6"/>
  <c r="I28" i="6"/>
  <c r="N12" i="5"/>
  <c r="O13" i="5"/>
  <c r="N10" i="5"/>
  <c r="H89" i="5"/>
  <c r="O10" i="5"/>
  <c r="O9" i="5" s="1"/>
  <c r="N13" i="5"/>
  <c r="D504" i="6"/>
  <c r="D571" i="6"/>
  <c r="D25" i="6"/>
  <c r="H11" i="6"/>
  <c r="M568" i="6"/>
  <c r="J14" i="6"/>
  <c r="J8" i="6" s="1"/>
  <c r="G21" i="6"/>
  <c r="E19" i="6"/>
  <c r="D780" i="6"/>
  <c r="P777" i="6" s="1"/>
  <c r="D782" i="6"/>
  <c r="D570" i="6"/>
  <c r="I568" i="6"/>
  <c r="N9" i="6"/>
  <c r="L568" i="6"/>
  <c r="D575" i="6"/>
  <c r="E574" i="6"/>
  <c r="D574" i="6" s="1"/>
  <c r="D592" i="6"/>
  <c r="E11" i="6"/>
  <c r="D548" i="6"/>
  <c r="L24" i="6"/>
  <c r="L14" i="6" s="1"/>
  <c r="N18" i="6"/>
  <c r="J568" i="6"/>
  <c r="N14" i="6"/>
  <c r="D604" i="6"/>
  <c r="D543" i="6"/>
  <c r="D777" i="6"/>
  <c r="D524" i="6"/>
  <c r="D31" i="6"/>
  <c r="M11" i="6"/>
  <c r="M28" i="6"/>
  <c r="E606" i="6"/>
  <c r="E610" i="6"/>
  <c r="D613" i="6"/>
  <c r="F14" i="6"/>
  <c r="D572" i="6"/>
  <c r="F568" i="6"/>
  <c r="K9" i="6"/>
  <c r="H56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E18" i="6"/>
  <c r="Q12" i="5"/>
  <c r="Q9" i="5" s="1"/>
  <c r="K8" i="6"/>
  <c r="L8" i="6"/>
  <c r="I14" i="6"/>
  <c r="I8" i="6" s="1"/>
  <c r="D21" i="6"/>
  <c r="D738" i="6"/>
  <c r="D28" i="6"/>
  <c r="L18" i="6"/>
  <c r="N9" i="5"/>
  <c r="D19" i="6"/>
  <c r="D610" i="6"/>
  <c r="E9" i="6"/>
  <c r="D9" i="6" s="1"/>
  <c r="G18" i="6"/>
  <c r="G11" i="6"/>
  <c r="G8" i="6" s="1"/>
  <c r="N8" i="6"/>
  <c r="F8" i="6"/>
  <c r="E568" i="6"/>
  <c r="D568" i="6" s="1"/>
  <c r="D24" i="6"/>
  <c r="M18" i="6"/>
  <c r="E602" i="6"/>
  <c r="D602" i="6" s="1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Журавлёва Татьяна Викторовна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M20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деньги 14 млн. выделили а на что еще не определено в досоглашении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57" authorId="4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4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4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<sst xmlns="http://schemas.openxmlformats.org/spreadsheetml/2006/main" count="1709" uniqueCount="467">
  <si>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</si>
  <si>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</si>
  <si>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</si>
  <si>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</si>
  <si>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</si>
  <si>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</si>
  <si>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</si>
  <si>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</si>
  <si>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</si>
  <si>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</si>
  <si>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</si>
  <si>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</si>
  <si>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</si>
  <si>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</si>
  <si>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</si>
  <si>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</si>
  <si>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</si>
  <si>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</si>
  <si>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</si>
  <si>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</si>
  <si>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</si>
  <si>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</si>
  <si>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</si>
  <si>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</si>
  <si>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</si>
  <si>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</si>
  <si>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</si>
  <si>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</si>
  <si>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</si>
  <si>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</si>
  <si>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</si>
  <si>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</si>
  <si>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</si>
  <si>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</si>
  <si>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</si>
  <si>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</si>
  <si>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</si>
  <si>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</si>
  <si>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</si>
  <si>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</si>
  <si>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</si>
  <si>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</si>
  <si>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</si>
  <si>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</si>
  <si>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</si>
  <si>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</si>
  <si>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</si>
  <si>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</si>
  <si>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</si>
  <si>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</si>
  <si>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</si>
  <si>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</si>
  <si>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</si>
  <si>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</si>
  <si>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</si>
  <si>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</si>
  <si>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</si>
  <si>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</si>
  <si>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</si>
  <si>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</si>
  <si>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</si>
  <si>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</si>
  <si>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</si>
  <si>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</si>
  <si>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</si>
  <si>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</si>
  <si>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</si>
  <si>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</si>
  <si>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</si>
  <si>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</si>
  <si>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</si>
  <si>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</si>
  <si>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</si>
  <si>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</si>
  <si>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</si>
  <si>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</si>
  <si>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</si>
  <si>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</si>
  <si>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</si>
  <si>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</si>
  <si>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</si>
  <si>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</si>
  <si>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</si>
  <si>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</si>
  <si>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</si>
  <si>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</si>
  <si>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</si>
  <si>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</si>
  <si>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</si>
  <si>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</si>
  <si>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</si>
  <si>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</si>
  <si>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</si>
  <si>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</si>
  <si>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</si>
  <si>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</si>
  <si>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</si>
  <si>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</si>
  <si>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</si>
  <si>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</si>
  <si>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</si>
  <si>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</si>
  <si>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</si>
  <si>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</si>
  <si>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</si>
  <si>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</si>
  <si>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</si>
  <si>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</si>
  <si>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</si>
  <si>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</si>
  <si>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</si>
  <si>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</si>
  <si>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</si>
  <si>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</si>
  <si>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</si>
  <si>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</si>
  <si>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</si>
  <si>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</si>
  <si>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</si>
  <si>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</si>
  <si>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</si>
  <si>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</si>
  <si>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</si>
  <si>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</si>
  <si>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</si>
  <si>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</si>
  <si>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</si>
  <si>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</si>
  <si>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</si>
  <si>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</si>
  <si>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</si>
  <si>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</si>
  <si>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</si>
  <si>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</si>
  <si>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</si>
  <si>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</si>
  <si>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</si>
  <si>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</si>
  <si>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</si>
  <si>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</si>
  <si>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</si>
  <si>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</si>
  <si>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</si>
  <si>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</si>
  <si>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</si>
  <si>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</si>
  <si>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</si>
  <si>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</si>
  <si>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</si>
  <si>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</si>
  <si>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</si>
  <si>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</si>
  <si>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</si>
  <si>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</si>
  <si>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</si>
  <si>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</si>
  <si>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</si>
  <si>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</si>
  <si>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</si>
  <si>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</si>
  <si>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</si>
  <si>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</si>
  <si>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</si>
  <si>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</si>
  <si>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</si>
  <si>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</si>
  <si>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</si>
  <si>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</si>
  <si>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</si>
  <si>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</si>
  <si>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</si>
  <si>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</si>
  <si>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</si>
  <si>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</si>
  <si>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</si>
  <si>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</si>
  <si>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</si>
  <si>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</si>
  <si>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</si>
  <si>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</si>
  <si>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</si>
  <si>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</si>
  <si>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</si>
  <si>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</si>
  <si>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</si>
  <si>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</si>
  <si>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</si>
  <si>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</si>
  <si>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</si>
  <si>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</si>
  <si>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</si>
  <si>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</si>
  <si>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</si>
  <si>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</si>
  <si>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</si>
  <si>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</si>
  <si>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</si>
  <si>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</si>
  <si>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</si>
  <si>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</si>
  <si>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</si>
  <si>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</si>
  <si>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</si>
  <si>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</si>
  <si>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</si>
  <si>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</si>
  <si>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</si>
  <si>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</si>
  <si>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</si>
  <si>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</si>
  <si>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</si>
  <si>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</si>
  <si>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</si>
  <si>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</si>
  <si>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</si>
  <si>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</si>
  <si>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</si>
  <si>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</si>
  <si>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</si>
  <si>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</si>
  <si>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</si>
  <si>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</si>
  <si>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</si>
  <si>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</si>
  <si>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</si>
  <si>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</si>
  <si>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</si>
  <si>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</si>
  <si>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</si>
  <si>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</si>
  <si>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</si>
  <si>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</si>
  <si>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</si>
  <si>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</si>
  <si>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</si>
  <si>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</si>
  <si>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</si>
  <si>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</si>
  <si>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</si>
  <si>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</si>
  <si>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</si>
  <si>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</si>
  <si>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</si>
  <si>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</si>
  <si>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</si>
  <si>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</si>
  <si>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</si>
  <si>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</si>
  <si>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</si>
  <si>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</si>
  <si>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</si>
  <si>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</si>
  <si>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</si>
  <si>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</si>
  <si>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</si>
  <si>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</si>
  <si>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</si>
  <si>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</si>
  <si>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</si>
  <si>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</si>
  <si>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</si>
  <si>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</si>
  <si>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</si>
  <si>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</si>
  <si>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</si>
  <si>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</si>
  <si>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</si>
  <si>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</si>
  <si>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</si>
  <si>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</si>
  <si>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</si>
  <si>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</si>
  <si>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</si>
  <si>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</si>
  <si>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</si>
  <si>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</si>
  <si>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</si>
  <si>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</si>
  <si>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</si>
  <si>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</si>
  <si>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</si>
  <si>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</si>
  <si>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</si>
  <si>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</si>
  <si>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</si>
  <si>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</si>
  <si>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</si>
  <si>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</si>
  <si>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</si>
  <si>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</si>
  <si>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</si>
  <si>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</si>
  <si>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</si>
  <si>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</si>
  <si>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</si>
  <si>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</si>
  <si>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</si>
  <si>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</si>
  <si>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</si>
  <si>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</si>
  <si>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</si>
  <si>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</si>
  <si>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</si>
  <si>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</si>
  <si>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</si>
  <si>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</si>
  <si>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</si>
  <si>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</si>
  <si>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</si>
  <si>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</si>
  <si>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</si>
  <si>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</si>
  <si>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</si>
  <si>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</si>
  <si>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</si>
  <si>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</si>
  <si>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</si>
  <si>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</si>
  <si>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</si>
  <si>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</si>
  <si>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</si>
  <si>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</si>
  <si>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</si>
  <si>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</si>
  <si>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</si>
  <si>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</si>
  <si>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</si>
  <si>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</si>
  <si>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</si>
  <si>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</si>
  <si>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</si>
  <si>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</si>
  <si>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</si>
  <si>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</si>
  <si>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</si>
  <si>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</si>
  <si>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</si>
  <si>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</si>
  <si>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</si>
  <si>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</si>
  <si>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</si>
  <si>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</si>
  <si>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</si>
  <si>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</si>
  <si>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</si>
  <si>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</si>
  <si>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</si>
  <si>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</si>
  <si>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</si>
  <si>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</si>
  <si>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</si>
  <si>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</si>
  <si>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</si>
  <si>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</si>
  <si>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</si>
  <si>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</si>
  <si>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</si>
  <si>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</si>
  <si>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</si>
  <si>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</si>
  <si>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</si>
  <si>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</si>
  <si>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</si>
  <si>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</si>
  <si>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</si>
  <si>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</si>
  <si>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</si>
  <si>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</si>
  <si>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</si>
  <si>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</si>
  <si>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</si>
  <si>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</si>
  <si>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</si>
  <si>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</si>
  <si>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</si>
  <si>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</si>
  <si>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</si>
  <si>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</si>
  <si>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</si>
  <si>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</si>
  <si>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</si>
  <si>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</si>
  <si>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</si>
  <si>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</si>
  <si>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</si>
  <si>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</si>
  <si>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</si>
  <si>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</si>
  <si>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</si>
  <si>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</si>
  <si>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</si>
  <si>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</si>
  <si>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</si>
  <si>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</si>
  <si>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</si>
  <si>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</si>
  <si>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</si>
  <si>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</si>
  <si>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</si>
  <si>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</si>
  <si>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</si>
  <si>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</si>
  <si>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</si>
  <si>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</si>
  <si>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</si>
  <si>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</si>
  <si>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</si>
  <si>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</si>
  <si>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</si>
  <si>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</si>
  <si>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</si>
  <si>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</si>
  <si>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</si>
  <si>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</si>
  <si>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</si>
  <si>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</si>
  <si>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</si>
  <si>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</si>
  <si>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</si>
  <si>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</si>
  <si>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</si>
  <si>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</si>
  <si>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</si>
  <si>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</si>
  <si>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</si>
  <si>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</si>
  <si>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</si>
  <si>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</si>
  <si>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</si>
  <si>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</si>
  <si>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</si>
  <si>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</si>
  <si>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</si>
  <si>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</si>
  <si>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</si>
  <si>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</si>
  <si>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</si>
  <si>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</si>
  <si>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</si>
  <si>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</si>
  <si>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</si>
  <si>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</si>
  <si>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</si>
  <si>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</si>
  <si>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</si>
  <si>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</si>
  <si>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</si>
  <si>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</si>
  <si>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</si>
  <si>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</si>
  <si>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</si>
  <si>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</si>
  <si>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</si>
  <si>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</si>
  <si>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</si>
  <si>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</si>
  <si>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</si>
  <si>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</si>
  <si>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</si>
  <si>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</si>
  <si>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</si>
  <si>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Мероприятие 4.1.22.</t>
  </si>
  <si>
    <t>4.1.22.1.</t>
  </si>
  <si>
    <t>Проектирование реконструкции городского парка</t>
  </si>
  <si>
    <t>Мероприятие 4.1.23.</t>
  </si>
  <si>
    <t>Благоустройство придомовых территорий многоквартирных домов (выполнение залоговых обязательств застройщика)</t>
  </si>
  <si>
    <t>Приложение № 6  к постановлению администрации города Благовещенска   от 01.09.2023 № 4590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</si>
</sst>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6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5" t="s">
        <v>310</v>
      </c>
      <c r="P1" s="135"/>
      <c r="Q1" s="135"/>
      <c r="R1" s="135"/>
      <c r="S1" s="135"/>
      <c r="T1" s="9"/>
    </row>
    <row r="2" spans="1:21" ht="35.25" customHeight="1" x14ac:dyDescent="0.25">
      <c r="B2" s="7"/>
      <c r="O2" s="135" t="s">
        <v>311</v>
      </c>
      <c r="P2" s="135"/>
      <c r="Q2" s="135"/>
      <c r="R2" s="135"/>
      <c r="S2" s="135"/>
      <c r="T2" s="9"/>
    </row>
    <row r="3" spans="1:21" ht="17.25" customHeight="1" x14ac:dyDescent="0.25">
      <c r="B3" s="136" t="s">
        <v>0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</row>
    <row r="4" spans="1:21" ht="16.5" customHeight="1" x14ac:dyDescent="0.25">
      <c r="B4" s="137" t="s">
        <v>1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1" ht="3" customHeight="1" x14ac:dyDescent="0.25">
      <c r="B5" s="11"/>
      <c r="M5" s="12"/>
      <c r="N5" s="33"/>
    </row>
    <row r="6" spans="1:21" ht="53.25" customHeight="1" x14ac:dyDescent="0.2">
      <c r="A6" s="132" t="s">
        <v>25</v>
      </c>
      <c r="B6" s="132" t="s">
        <v>93</v>
      </c>
      <c r="C6" s="132" t="s">
        <v>129</v>
      </c>
      <c r="D6" s="132" t="s">
        <v>2</v>
      </c>
      <c r="E6" s="132"/>
      <c r="F6" s="132"/>
      <c r="G6" s="132"/>
      <c r="H6" s="125" t="s">
        <v>3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7"/>
    </row>
    <row r="7" spans="1:21" x14ac:dyDescent="0.2">
      <c r="A7" s="132"/>
      <c r="B7" s="132"/>
      <c r="C7" s="132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21" t="s">
        <v>26</v>
      </c>
      <c r="B9" s="121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21"/>
      <c r="B10" s="121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21"/>
      <c r="B11" s="121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21"/>
      <c r="B12" s="121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8" t="s">
        <v>30</v>
      </c>
      <c r="B13" s="121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3"/>
      <c r="B14" s="121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4"/>
      <c r="B15" s="121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9" t="s">
        <v>235</v>
      </c>
      <c r="B16" s="119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4"/>
      <c r="B17" s="124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8" t="s">
        <v>118</v>
      </c>
      <c r="B43" s="108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10"/>
      <c r="B44" s="110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21" t="s">
        <v>33</v>
      </c>
      <c r="B73" s="121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31"/>
      <c r="B74" s="131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21" t="s">
        <v>39</v>
      </c>
      <c r="B77" s="128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21"/>
      <c r="B78" s="129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21"/>
      <c r="B79" s="129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20"/>
      <c r="B80" s="130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9" t="s">
        <v>40</v>
      </c>
      <c r="B81" s="108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20"/>
      <c r="B82" s="122"/>
      <c r="C82" s="47" t="s">
        <v>84</v>
      </c>
      <c r="D82" s="43" t="s">
        <v>14</v>
      </c>
      <c r="E82" s="43" t="s">
        <v>23</v>
      </c>
      <c r="F82" s="115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20"/>
      <c r="B83" s="122"/>
      <c r="C83" s="47" t="s">
        <v>89</v>
      </c>
      <c r="D83" s="43" t="s">
        <v>47</v>
      </c>
      <c r="E83" s="43" t="s">
        <v>23</v>
      </c>
      <c r="F83" s="116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20"/>
      <c r="B84" s="123"/>
      <c r="C84" s="47" t="s">
        <v>86</v>
      </c>
      <c r="D84" s="43" t="s">
        <v>48</v>
      </c>
      <c r="E84" s="43" t="s">
        <v>23</v>
      </c>
      <c r="F84" s="116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9" t="s">
        <v>133</v>
      </c>
      <c r="B85" s="119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9"/>
      <c r="B86" s="119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21" t="s">
        <v>31</v>
      </c>
      <c r="B88" s="121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21"/>
      <c r="B89" s="121"/>
      <c r="C89" s="42" t="s">
        <v>89</v>
      </c>
      <c r="D89" s="43" t="s">
        <v>47</v>
      </c>
      <c r="E89" s="56" t="s">
        <v>244</v>
      </c>
      <c r="F89" s="117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21"/>
      <c r="B90" s="121"/>
      <c r="C90" s="47" t="s">
        <v>84</v>
      </c>
      <c r="D90" s="43" t="s">
        <v>14</v>
      </c>
      <c r="E90" s="56" t="s">
        <v>244</v>
      </c>
      <c r="F90" s="118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8" t="s">
        <v>34</v>
      </c>
      <c r="B91" s="108" t="s">
        <v>122</v>
      </c>
      <c r="C91" s="47" t="s">
        <v>84</v>
      </c>
      <c r="D91" s="43" t="s">
        <v>14</v>
      </c>
      <c r="E91" s="43" t="s">
        <v>35</v>
      </c>
      <c r="F91" s="115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9"/>
      <c r="B92" s="109"/>
      <c r="C92" s="47" t="s">
        <v>84</v>
      </c>
      <c r="D92" s="43" t="s">
        <v>14</v>
      </c>
      <c r="E92" s="43" t="s">
        <v>49</v>
      </c>
      <c r="F92" s="115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9"/>
      <c r="B93" s="109"/>
      <c r="C93" s="47" t="s">
        <v>89</v>
      </c>
      <c r="D93" s="43" t="s">
        <v>47</v>
      </c>
      <c r="E93" s="43" t="s">
        <v>35</v>
      </c>
      <c r="F93" s="115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10"/>
      <c r="B94" s="110"/>
      <c r="C94" s="47" t="s">
        <v>89</v>
      </c>
      <c r="D94" s="43" t="s">
        <v>47</v>
      </c>
      <c r="E94" s="43" t="s">
        <v>49</v>
      </c>
      <c r="F94" s="115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8" t="s">
        <v>267</v>
      </c>
      <c r="B103" s="108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9"/>
      <c r="B104" s="109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9"/>
      <c r="B105" s="109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10"/>
      <c r="B106" s="110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8" t="s">
        <v>282</v>
      </c>
      <c r="B109" s="108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10"/>
      <c r="B110" s="110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8" t="s">
        <v>284</v>
      </c>
      <c r="B111" s="108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10"/>
      <c r="B112" s="110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21" t="s">
        <v>42</v>
      </c>
      <c r="B113" s="107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21"/>
      <c r="B114" s="107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9" t="s">
        <v>334</v>
      </c>
      <c r="B115" s="111" t="s">
        <v>144</v>
      </c>
      <c r="C115" s="114" t="s">
        <v>84</v>
      </c>
      <c r="D115" s="106" t="s">
        <v>14</v>
      </c>
      <c r="E115" s="106" t="s">
        <v>41</v>
      </c>
      <c r="F115" s="116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9"/>
      <c r="B116" s="112"/>
      <c r="C116" s="114"/>
      <c r="D116" s="106"/>
      <c r="E116" s="106"/>
      <c r="F116" s="116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9"/>
      <c r="B117" s="113"/>
      <c r="C117" s="114"/>
      <c r="D117" s="106"/>
      <c r="E117" s="106"/>
      <c r="F117" s="116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8" t="s">
        <v>143</v>
      </c>
      <c r="B118" s="108" t="s">
        <v>56</v>
      </c>
      <c r="C118" s="119" t="s">
        <v>84</v>
      </c>
      <c r="D118" s="106" t="s">
        <v>14</v>
      </c>
      <c r="E118" s="106" t="s">
        <v>41</v>
      </c>
      <c r="F118" s="115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9"/>
      <c r="B119" s="109"/>
      <c r="C119" s="119"/>
      <c r="D119" s="106"/>
      <c r="E119" s="106"/>
      <c r="F119" s="115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10"/>
      <c r="B120" s="110"/>
      <c r="C120" s="119"/>
      <c r="D120" s="106"/>
      <c r="E120" s="106"/>
      <c r="F120" s="115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02"/>
  <sheetViews>
    <sheetView tabSelected="1" view="pageBreakPreview" zoomScaleNormal="85" zoomScaleSheetLayoutView="100" workbookViewId="0">
      <pane xSplit="2" ySplit="7" topLeftCell="C566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60" t="s">
        <v>466</v>
      </c>
      <c r="M1" s="160"/>
      <c r="N1" s="160"/>
      <c r="O1" s="160"/>
    </row>
    <row r="2" spans="1:25" ht="27.75" customHeight="1" x14ac:dyDescent="0.2">
      <c r="E2" s="61"/>
      <c r="G2" s="61"/>
      <c r="I2" s="63"/>
      <c r="K2" s="62" t="s">
        <v>402</v>
      </c>
      <c r="L2" s="160" t="s">
        <v>311</v>
      </c>
      <c r="M2" s="160"/>
      <c r="N2" s="160"/>
      <c r="O2" s="160"/>
    </row>
    <row r="3" spans="1:25" ht="18.75" x14ac:dyDescent="0.3">
      <c r="B3" s="161" t="s">
        <v>368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25" x14ac:dyDescent="0.2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00"/>
      <c r="L4" s="100"/>
      <c r="M4" s="64"/>
    </row>
    <row r="5" spans="1:25" ht="20.25" customHeight="1" x14ac:dyDescent="0.2">
      <c r="A5" s="166" t="s">
        <v>25</v>
      </c>
      <c r="B5" s="165" t="s">
        <v>93</v>
      </c>
      <c r="C5" s="165" t="s">
        <v>8</v>
      </c>
      <c r="D5" s="165" t="s">
        <v>343</v>
      </c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</row>
    <row r="6" spans="1:25" ht="49.5" customHeight="1" x14ac:dyDescent="0.2">
      <c r="A6" s="166"/>
      <c r="B6" s="165"/>
      <c r="C6" s="165"/>
      <c r="D6" s="98" t="s">
        <v>9</v>
      </c>
      <c r="E6" s="98" t="s">
        <v>16</v>
      </c>
      <c r="F6" s="98" t="s">
        <v>24</v>
      </c>
      <c r="G6" s="98" t="s">
        <v>18</v>
      </c>
      <c r="H6" s="98" t="s">
        <v>19</v>
      </c>
      <c r="I6" s="98" t="s">
        <v>20</v>
      </c>
      <c r="J6" s="98" t="s">
        <v>21</v>
      </c>
      <c r="K6" s="98" t="s">
        <v>251</v>
      </c>
      <c r="L6" s="98" t="s">
        <v>294</v>
      </c>
      <c r="M6" s="98" t="s">
        <v>295</v>
      </c>
      <c r="N6" s="98" t="s">
        <v>296</v>
      </c>
      <c r="O6" s="98" t="s">
        <v>297</v>
      </c>
    </row>
    <row r="7" spans="1:25" ht="16.5" customHeight="1" x14ac:dyDescent="0.2">
      <c r="A7" s="103">
        <v>1</v>
      </c>
      <c r="B7" s="98">
        <v>2</v>
      </c>
      <c r="C7" s="99">
        <v>3</v>
      </c>
      <c r="D7" s="98">
        <v>4</v>
      </c>
      <c r="E7" s="99">
        <v>5</v>
      </c>
      <c r="F7" s="98">
        <v>6</v>
      </c>
      <c r="G7" s="99">
        <v>7</v>
      </c>
      <c r="H7" s="98">
        <v>8</v>
      </c>
      <c r="I7" s="99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</row>
    <row r="8" spans="1:25" ht="15.75" x14ac:dyDescent="0.2">
      <c r="A8" s="168" t="s">
        <v>26</v>
      </c>
      <c r="B8" s="167" t="s">
        <v>344</v>
      </c>
      <c r="C8" s="65" t="s">
        <v>7</v>
      </c>
      <c r="D8" s="66">
        <f>D9+D11+D14+D17</f>
        <v>18118337.666999999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4358777.375</v>
      </c>
      <c r="N8" s="66">
        <f t="shared" si="0"/>
        <v>3226801</v>
      </c>
      <c r="O8" s="66">
        <f t="shared" si="0"/>
        <v>863743.1</v>
      </c>
      <c r="P8" s="67"/>
      <c r="Q8" s="60"/>
      <c r="W8" s="60"/>
      <c r="X8" s="60"/>
      <c r="Y8" s="60"/>
    </row>
    <row r="9" spans="1:25" ht="31.5" x14ac:dyDescent="0.2">
      <c r="A9" s="168"/>
      <c r="B9" s="167"/>
      <c r="C9" s="68" t="s">
        <v>80</v>
      </c>
      <c r="D9" s="69">
        <f>E9+F9+G9+H9+I9+J9+K9+L9+M9+N9+O9</f>
        <v>213817.09999999998</v>
      </c>
      <c r="E9" s="69">
        <f t="shared" ref="E9:O9" si="1">E19+E544+E570+E603+E778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0</v>
      </c>
      <c r="N9" s="69">
        <f t="shared" si="1"/>
        <v>0</v>
      </c>
      <c r="O9" s="69">
        <f t="shared" si="1"/>
        <v>0</v>
      </c>
    </row>
    <row r="10" spans="1:25" ht="31.5" x14ac:dyDescent="0.2">
      <c r="A10" s="168"/>
      <c r="B10" s="167"/>
      <c r="C10" s="70" t="s">
        <v>81</v>
      </c>
      <c r="D10" s="69">
        <f t="shared" ref="D10:D11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</row>
    <row r="11" spans="1:25" ht="31.5" x14ac:dyDescent="0.2">
      <c r="A11" s="169"/>
      <c r="B11" s="167"/>
      <c r="C11" s="68" t="s">
        <v>69</v>
      </c>
      <c r="D11" s="69">
        <f t="shared" si="2"/>
        <v>13311418.309999999</v>
      </c>
      <c r="E11" s="69">
        <f t="shared" ref="E11:O11" si="4">E21+E545+E571+E604+E779</f>
        <v>68697.599999999991</v>
      </c>
      <c r="F11" s="69">
        <f t="shared" si="4"/>
        <v>15000</v>
      </c>
      <c r="G11" s="69">
        <f t="shared" si="4"/>
        <v>26276.799999999999</v>
      </c>
      <c r="H11" s="69">
        <f t="shared" si="4"/>
        <v>47416.2</v>
      </c>
      <c r="I11" s="69">
        <f t="shared" si="4"/>
        <v>203223.40000000002</v>
      </c>
      <c r="J11" s="69">
        <f t="shared" si="4"/>
        <v>1002052.3999999999</v>
      </c>
      <c r="K11" s="69">
        <f t="shared" si="4"/>
        <v>1513799.91</v>
      </c>
      <c r="L11" s="69">
        <f t="shared" si="4"/>
        <v>3229486.8</v>
      </c>
      <c r="M11" s="69">
        <f t="shared" si="4"/>
        <v>3814067.5</v>
      </c>
      <c r="N11" s="69">
        <f t="shared" si="4"/>
        <v>2871276.5</v>
      </c>
      <c r="O11" s="69">
        <f t="shared" si="4"/>
        <v>520121.2</v>
      </c>
    </row>
    <row r="12" spans="1:25" ht="31.5" x14ac:dyDescent="0.2">
      <c r="A12" s="169"/>
      <c r="B12" s="167"/>
      <c r="C12" s="70" t="s">
        <v>79</v>
      </c>
      <c r="D12" s="69">
        <f t="shared" ref="D12:D19" si="5">E12+F12+G12+H12+I12+J12+K12+L12+M12+N12+O12</f>
        <v>43117.100000000006</v>
      </c>
      <c r="E12" s="71">
        <f>E22</f>
        <v>43117.100000000006</v>
      </c>
      <c r="F12" s="71">
        <f t="shared" ref="F12:K12" si="6">F22</f>
        <v>0</v>
      </c>
      <c r="G12" s="71">
        <f t="shared" si="6"/>
        <v>0</v>
      </c>
      <c r="H12" s="71">
        <f t="shared" si="6"/>
        <v>0</v>
      </c>
      <c r="I12" s="71">
        <f t="shared" si="6"/>
        <v>0</v>
      </c>
      <c r="J12" s="71">
        <f t="shared" si="6"/>
        <v>0</v>
      </c>
      <c r="K12" s="71">
        <f t="shared" si="6"/>
        <v>0</v>
      </c>
      <c r="L12" s="71">
        <f t="shared" ref="L12:O12" si="7">L22</f>
        <v>0</v>
      </c>
      <c r="M12" s="71">
        <f t="shared" si="7"/>
        <v>0</v>
      </c>
      <c r="N12" s="71">
        <f t="shared" si="7"/>
        <v>0</v>
      </c>
      <c r="O12" s="71">
        <f t="shared" si="7"/>
        <v>0</v>
      </c>
      <c r="R12" s="60"/>
    </row>
    <row r="13" spans="1:25" ht="31.5" x14ac:dyDescent="0.2">
      <c r="A13" s="169"/>
      <c r="B13" s="167"/>
      <c r="C13" s="70" t="s">
        <v>81</v>
      </c>
      <c r="D13" s="71">
        <f t="shared" si="5"/>
        <v>85806.399999999994</v>
      </c>
      <c r="E13" s="71">
        <f t="shared" ref="E13:L13" si="8">E23</f>
        <v>20580.5</v>
      </c>
      <c r="F13" s="71">
        <f t="shared" si="8"/>
        <v>0</v>
      </c>
      <c r="G13" s="71">
        <f t="shared" si="8"/>
        <v>0</v>
      </c>
      <c r="H13" s="71">
        <f t="shared" si="8"/>
        <v>0</v>
      </c>
      <c r="I13" s="71">
        <f t="shared" si="8"/>
        <v>0</v>
      </c>
      <c r="J13" s="71">
        <f t="shared" si="8"/>
        <v>0</v>
      </c>
      <c r="K13" s="71">
        <f t="shared" si="8"/>
        <v>0</v>
      </c>
      <c r="L13" s="71">
        <f t="shared" si="8"/>
        <v>21808</v>
      </c>
      <c r="M13" s="71">
        <f>M23+M605</f>
        <v>43417.899999999994</v>
      </c>
      <c r="N13" s="71">
        <f>N23+N605</f>
        <v>0</v>
      </c>
      <c r="O13" s="71">
        <f>O23+O605</f>
        <v>0</v>
      </c>
    </row>
    <row r="14" spans="1:25" ht="31.5" x14ac:dyDescent="0.2">
      <c r="A14" s="169"/>
      <c r="B14" s="167"/>
      <c r="C14" s="68" t="s">
        <v>65</v>
      </c>
      <c r="D14" s="69">
        <f t="shared" si="5"/>
        <v>4562837.2570000002</v>
      </c>
      <c r="E14" s="69">
        <f t="shared" ref="E14:O14" si="9">E24+E546+E572+E606+E780</f>
        <v>325404.89999999997</v>
      </c>
      <c r="F14" s="69">
        <f t="shared" si="9"/>
        <v>364692.8</v>
      </c>
      <c r="G14" s="69">
        <f t="shared" si="9"/>
        <v>356065.3</v>
      </c>
      <c r="H14" s="69">
        <f t="shared" si="9"/>
        <v>405742.4</v>
      </c>
      <c r="I14" s="69">
        <f t="shared" si="9"/>
        <v>308074.40000000002</v>
      </c>
      <c r="J14" s="69">
        <f t="shared" si="9"/>
        <v>403716.9</v>
      </c>
      <c r="K14" s="69">
        <f t="shared" si="9"/>
        <v>607444.48200000008</v>
      </c>
      <c r="L14" s="69">
        <f t="shared" si="9"/>
        <v>547839.79999999993</v>
      </c>
      <c r="M14" s="69">
        <f t="shared" si="9"/>
        <v>544709.87499999988</v>
      </c>
      <c r="N14" s="69">
        <f t="shared" si="9"/>
        <v>355524.5</v>
      </c>
      <c r="O14" s="69">
        <f t="shared" si="9"/>
        <v>343621.89999999997</v>
      </c>
    </row>
    <row r="15" spans="1:25" ht="31.5" x14ac:dyDescent="0.2">
      <c r="A15" s="169"/>
      <c r="B15" s="167"/>
      <c r="C15" s="70" t="s">
        <v>79</v>
      </c>
      <c r="D15" s="69">
        <f t="shared" si="5"/>
        <v>85206.799999999988</v>
      </c>
      <c r="E15" s="71">
        <f>E25+E607+E573</f>
        <v>48729.7</v>
      </c>
      <c r="F15" s="71">
        <f>F25+F607+F573</f>
        <v>30651</v>
      </c>
      <c r="G15" s="71">
        <f>G42+G585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M25+M579+M607</f>
        <v>0</v>
      </c>
      <c r="N15" s="71">
        <v>0</v>
      </c>
      <c r="O15" s="71">
        <v>0</v>
      </c>
    </row>
    <row r="16" spans="1:25" ht="36.75" customHeight="1" x14ac:dyDescent="0.2">
      <c r="A16" s="169"/>
      <c r="B16" s="167"/>
      <c r="C16" s="72" t="s">
        <v>448</v>
      </c>
      <c r="D16" s="71">
        <f t="shared" si="5"/>
        <v>13834.5</v>
      </c>
      <c r="E16" s="71">
        <f t="shared" ref="E16:K16" si="10">E26</f>
        <v>0</v>
      </c>
      <c r="F16" s="71">
        <f t="shared" si="10"/>
        <v>0</v>
      </c>
      <c r="G16" s="71">
        <f t="shared" si="10"/>
        <v>0</v>
      </c>
      <c r="H16" s="71">
        <f t="shared" si="10"/>
        <v>0</v>
      </c>
      <c r="I16" s="71">
        <f t="shared" si="10"/>
        <v>0</v>
      </c>
      <c r="J16" s="71">
        <f t="shared" si="10"/>
        <v>0</v>
      </c>
      <c r="K16" s="71">
        <f t="shared" si="10"/>
        <v>0</v>
      </c>
      <c r="L16" s="71">
        <f>L26</f>
        <v>1392</v>
      </c>
      <c r="M16" s="71">
        <f>M26+M608</f>
        <v>12442.5</v>
      </c>
      <c r="N16" s="71">
        <f>N26+N608</f>
        <v>0</v>
      </c>
      <c r="O16" s="71">
        <f>O26+O608</f>
        <v>0</v>
      </c>
      <c r="P16" s="71">
        <f t="shared" ref="P16:V16" si="11">P26</f>
        <v>0</v>
      </c>
      <c r="Q16" s="71">
        <f t="shared" si="11"/>
        <v>0</v>
      </c>
      <c r="R16" s="71">
        <f t="shared" si="11"/>
        <v>0</v>
      </c>
      <c r="S16" s="71">
        <f t="shared" si="11"/>
        <v>0</v>
      </c>
      <c r="T16" s="71">
        <f t="shared" si="11"/>
        <v>0</v>
      </c>
      <c r="U16" s="71">
        <f t="shared" si="11"/>
        <v>0</v>
      </c>
      <c r="V16" s="71">
        <f t="shared" si="11"/>
        <v>0</v>
      </c>
    </row>
    <row r="17" spans="1:21" ht="17.25" customHeight="1" x14ac:dyDescent="0.2">
      <c r="A17" s="169"/>
      <c r="B17" s="167"/>
      <c r="C17" s="68" t="s">
        <v>13</v>
      </c>
      <c r="D17" s="69">
        <f t="shared" si="5"/>
        <v>30265</v>
      </c>
      <c r="E17" s="69">
        <f>E547</f>
        <v>20000</v>
      </c>
      <c r="F17" s="69">
        <f t="shared" ref="F17:K17" si="12">F547</f>
        <v>3000</v>
      </c>
      <c r="G17" s="69">
        <f t="shared" si="12"/>
        <v>1600</v>
      </c>
      <c r="H17" s="69">
        <f t="shared" si="12"/>
        <v>3453.6</v>
      </c>
      <c r="I17" s="69">
        <f t="shared" si="12"/>
        <v>2211.4</v>
      </c>
      <c r="J17" s="69">
        <f t="shared" si="12"/>
        <v>0</v>
      </c>
      <c r="K17" s="69">
        <f t="shared" si="12"/>
        <v>0</v>
      </c>
      <c r="L17" s="69">
        <f>L547</f>
        <v>0</v>
      </c>
      <c r="M17" s="69">
        <f>M547</f>
        <v>0</v>
      </c>
      <c r="N17" s="69">
        <f>N547</f>
        <v>0</v>
      </c>
      <c r="O17" s="69">
        <f>O547</f>
        <v>0</v>
      </c>
    </row>
    <row r="18" spans="1:21" ht="15.75" x14ac:dyDescent="0.2">
      <c r="A18" s="162" t="s">
        <v>27</v>
      </c>
      <c r="B18" s="162" t="s">
        <v>28</v>
      </c>
      <c r="C18" s="73" t="s">
        <v>7</v>
      </c>
      <c r="D18" s="66">
        <f t="shared" si="5"/>
        <v>13246740.630000001</v>
      </c>
      <c r="E18" s="66">
        <f>E19+E21+E24+E27</f>
        <v>218606.2</v>
      </c>
      <c r="F18" s="66">
        <f t="shared" ref="F18:K18" si="13">F19+F21+F24+F27</f>
        <v>51837.9</v>
      </c>
      <c r="G18" s="66">
        <f t="shared" si="13"/>
        <v>71967.7</v>
      </c>
      <c r="H18" s="66">
        <f>H19+H21+H24+H27</f>
        <v>137590.59999999998</v>
      </c>
      <c r="I18" s="66">
        <f t="shared" si="13"/>
        <v>93705.7</v>
      </c>
      <c r="J18" s="66">
        <f t="shared" si="13"/>
        <v>861013.6</v>
      </c>
      <c r="K18" s="66">
        <f t="shared" si="13"/>
        <v>1369692.33</v>
      </c>
      <c r="L18" s="66">
        <f>L19+L21+L24+L27</f>
        <v>3128932.9</v>
      </c>
      <c r="M18" s="66">
        <f>M19+M21+M24+M27</f>
        <v>3849693.4</v>
      </c>
      <c r="N18" s="66">
        <f>N19+N21+N24+N27</f>
        <v>2901519</v>
      </c>
      <c r="O18" s="66">
        <f>O19+O21+O24+O27</f>
        <v>562181.30000000005</v>
      </c>
      <c r="P18" s="67"/>
      <c r="Q18" s="60"/>
    </row>
    <row r="19" spans="1:21" ht="31.5" x14ac:dyDescent="0.2">
      <c r="A19" s="163"/>
      <c r="B19" s="163"/>
      <c r="C19" s="101" t="s">
        <v>80</v>
      </c>
      <c r="D19" s="69">
        <f t="shared" si="5"/>
        <v>213817.09999999998</v>
      </c>
      <c r="E19" s="69">
        <f>E29+E505</f>
        <v>98793.9</v>
      </c>
      <c r="F19" s="69">
        <f>F29+F505</f>
        <v>0</v>
      </c>
      <c r="G19" s="69">
        <f>G29+G505</f>
        <v>0</v>
      </c>
      <c r="H19" s="69">
        <f>H29+H505</f>
        <v>0</v>
      </c>
      <c r="I19" s="69">
        <f>I29+I505</f>
        <v>0</v>
      </c>
      <c r="J19" s="69">
        <f t="shared" ref="J19:O19" si="14">J29+J505+J422+J467+J525</f>
        <v>0</v>
      </c>
      <c r="K19" s="69">
        <f t="shared" si="14"/>
        <v>115023.2</v>
      </c>
      <c r="L19" s="69">
        <f t="shared" si="14"/>
        <v>0</v>
      </c>
      <c r="M19" s="69">
        <f t="shared" si="14"/>
        <v>0</v>
      </c>
      <c r="N19" s="69">
        <f t="shared" si="14"/>
        <v>0</v>
      </c>
      <c r="O19" s="69">
        <f t="shared" si="14"/>
        <v>0</v>
      </c>
    </row>
    <row r="20" spans="1:21" ht="31.5" x14ac:dyDescent="0.2">
      <c r="A20" s="163"/>
      <c r="B20" s="163"/>
      <c r="C20" s="74" t="s">
        <v>81</v>
      </c>
      <c r="D20" s="69">
        <f t="shared" ref="D20:D27" si="15">E20+F20+G20+H20+I20+J20+K20+L20+M20+N20+O20</f>
        <v>98793.9</v>
      </c>
      <c r="E20" s="71">
        <f>E30</f>
        <v>98793.9</v>
      </c>
      <c r="F20" s="71">
        <f t="shared" ref="F20:K20" si="16">F30</f>
        <v>0</v>
      </c>
      <c r="G20" s="71">
        <f t="shared" si="16"/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</row>
    <row r="21" spans="1:21" ht="31.5" customHeight="1" x14ac:dyDescent="0.2">
      <c r="A21" s="163"/>
      <c r="B21" s="163"/>
      <c r="C21" s="101" t="s">
        <v>69</v>
      </c>
      <c r="D21" s="69">
        <f>E21+F21+G21+H21+I21+J21+K21+L21+M21+N21+O21</f>
        <v>12190557.009999998</v>
      </c>
      <c r="E21" s="69">
        <f>E31+E423+E468+E506</f>
        <v>68697.599999999991</v>
      </c>
      <c r="F21" s="69">
        <f>F31+F423+F468+F506</f>
        <v>15000</v>
      </c>
      <c r="G21" s="69">
        <f>G31+G423+G468+G506</f>
        <v>26276.799999999999</v>
      </c>
      <c r="H21" s="69">
        <f>H31+H423+H468+H506</f>
        <v>47416.2</v>
      </c>
      <c r="I21" s="69">
        <f>I31+I423+I468+I506</f>
        <v>43469.7</v>
      </c>
      <c r="J21" s="69">
        <f t="shared" ref="J21:O21" si="17">J31+J423+J468+J506+J526</f>
        <v>718423.5</v>
      </c>
      <c r="K21" s="69">
        <f t="shared" si="17"/>
        <v>1144814.71</v>
      </c>
      <c r="L21" s="69">
        <f t="shared" si="17"/>
        <v>3033866.3</v>
      </c>
      <c r="M21" s="69">
        <f t="shared" si="17"/>
        <v>3730094.5</v>
      </c>
      <c r="N21" s="69">
        <f t="shared" si="17"/>
        <v>2842376.5</v>
      </c>
      <c r="O21" s="69">
        <f t="shared" si="17"/>
        <v>520121.2</v>
      </c>
    </row>
    <row r="22" spans="1:21" ht="31.5" x14ac:dyDescent="0.2">
      <c r="A22" s="163"/>
      <c r="B22" s="163"/>
      <c r="C22" s="74" t="s">
        <v>79</v>
      </c>
      <c r="D22" s="69">
        <f t="shared" si="15"/>
        <v>43117.100000000006</v>
      </c>
      <c r="E22" s="71">
        <f>E32</f>
        <v>43117.100000000006</v>
      </c>
      <c r="F22" s="71">
        <f t="shared" ref="F22:K22" si="18">F32</f>
        <v>0</v>
      </c>
      <c r="G22" s="71">
        <f t="shared" si="18"/>
        <v>0</v>
      </c>
      <c r="H22" s="71">
        <f t="shared" si="18"/>
        <v>0</v>
      </c>
      <c r="I22" s="71">
        <f t="shared" si="18"/>
        <v>0</v>
      </c>
      <c r="J22" s="71">
        <f t="shared" si="18"/>
        <v>0</v>
      </c>
      <c r="K22" s="71">
        <f t="shared" si="18"/>
        <v>0</v>
      </c>
      <c r="L22" s="71">
        <f t="shared" ref="L22:O22" si="19">L32</f>
        <v>0</v>
      </c>
      <c r="M22" s="71">
        <f t="shared" si="19"/>
        <v>0</v>
      </c>
      <c r="N22" s="71">
        <f t="shared" si="19"/>
        <v>0</v>
      </c>
      <c r="O22" s="71">
        <f t="shared" si="19"/>
        <v>0</v>
      </c>
    </row>
    <row r="23" spans="1:21" ht="31.5" x14ac:dyDescent="0.2">
      <c r="A23" s="163"/>
      <c r="B23" s="163"/>
      <c r="C23" s="74" t="s">
        <v>81</v>
      </c>
      <c r="D23" s="71">
        <f>E23+F23+G23+H23+I23+J23+K23+L23+M23+N23+O23</f>
        <v>74527.100000000006</v>
      </c>
      <c r="E23" s="71">
        <f>E33</f>
        <v>20580.5</v>
      </c>
      <c r="F23" s="71">
        <f t="shared" ref="F23:K23" si="20">F33</f>
        <v>0</v>
      </c>
      <c r="G23" s="71">
        <f t="shared" si="20"/>
        <v>0</v>
      </c>
      <c r="H23" s="71">
        <f t="shared" si="20"/>
        <v>0</v>
      </c>
      <c r="I23" s="71">
        <f t="shared" si="20"/>
        <v>0</v>
      </c>
      <c r="J23" s="71">
        <f t="shared" si="20"/>
        <v>0</v>
      </c>
      <c r="K23" s="71">
        <f t="shared" si="20"/>
        <v>0</v>
      </c>
      <c r="L23" s="71">
        <f>L33+L527</f>
        <v>21808</v>
      </c>
      <c r="M23" s="71">
        <f>M33+M527</f>
        <v>32138.6</v>
      </c>
      <c r="N23" s="71">
        <f>N33+N527</f>
        <v>0</v>
      </c>
      <c r="O23" s="71">
        <f>O33+O527</f>
        <v>0</v>
      </c>
    </row>
    <row r="24" spans="1:21" ht="31.5" x14ac:dyDescent="0.2">
      <c r="A24" s="163"/>
      <c r="B24" s="163"/>
      <c r="C24" s="101" t="s">
        <v>65</v>
      </c>
      <c r="D24" s="69">
        <f>E24+F24+G24+H24+I24+J24+K24+L24+M24+N24+O24</f>
        <v>842366.52</v>
      </c>
      <c r="E24" s="69">
        <f>E34+E424+E469+E507</f>
        <v>51114.700000000004</v>
      </c>
      <c r="F24" s="69">
        <f>F34+F424+F469+F507</f>
        <v>36837.9</v>
      </c>
      <c r="G24" s="69">
        <f>G34+G424+G469+G507</f>
        <v>45690.899999999994</v>
      </c>
      <c r="H24" s="69">
        <f>H34+H424+H469+H507</f>
        <v>90174.399999999994</v>
      </c>
      <c r="I24" s="69">
        <f>I34+I424+I469+I507</f>
        <v>50236</v>
      </c>
      <c r="J24" s="69">
        <f t="shared" ref="J24:O24" si="21">J34+J424+J469+J507+J528</f>
        <v>142590.1</v>
      </c>
      <c r="K24" s="69">
        <f t="shared" si="21"/>
        <v>109854.42000000004</v>
      </c>
      <c r="L24" s="69">
        <f t="shared" si="21"/>
        <v>95066.599999999977</v>
      </c>
      <c r="M24" s="69">
        <f t="shared" si="21"/>
        <v>119598.89999999998</v>
      </c>
      <c r="N24" s="69">
        <f t="shared" si="21"/>
        <v>59142.499999999993</v>
      </c>
      <c r="O24" s="69">
        <f t="shared" si="21"/>
        <v>42060.1</v>
      </c>
      <c r="P24" s="60"/>
      <c r="Q24" s="60"/>
    </row>
    <row r="25" spans="1:21" ht="31.5" customHeight="1" x14ac:dyDescent="0.2">
      <c r="A25" s="163"/>
      <c r="B25" s="163"/>
      <c r="C25" s="74" t="s">
        <v>79</v>
      </c>
      <c r="D25" s="69">
        <f t="shared" si="15"/>
        <v>24185.399999999998</v>
      </c>
      <c r="E25" s="71">
        <f t="shared" ref="E25:O25" si="22">E35+E470</f>
        <v>17427.399999999998</v>
      </c>
      <c r="F25" s="71">
        <f t="shared" si="22"/>
        <v>2151</v>
      </c>
      <c r="G25" s="71">
        <f t="shared" si="22"/>
        <v>3908.3</v>
      </c>
      <c r="H25" s="71">
        <f t="shared" si="22"/>
        <v>0</v>
      </c>
      <c r="I25" s="71">
        <f t="shared" si="22"/>
        <v>698.7</v>
      </c>
      <c r="J25" s="71">
        <f t="shared" si="22"/>
        <v>0</v>
      </c>
      <c r="K25" s="71">
        <f t="shared" si="22"/>
        <v>0</v>
      </c>
      <c r="L25" s="71">
        <f t="shared" si="22"/>
        <v>0</v>
      </c>
      <c r="M25" s="71">
        <f t="shared" si="22"/>
        <v>0</v>
      </c>
      <c r="N25" s="71">
        <f t="shared" si="22"/>
        <v>0</v>
      </c>
      <c r="O25" s="71">
        <f t="shared" si="22"/>
        <v>0</v>
      </c>
    </row>
    <row r="26" spans="1:21" ht="31.5" customHeight="1" x14ac:dyDescent="0.2">
      <c r="A26" s="163"/>
      <c r="B26" s="163"/>
      <c r="C26" s="72" t="s">
        <v>448</v>
      </c>
      <c r="D26" s="71">
        <f t="shared" ref="D26:K26" si="23">D529</f>
        <v>2784</v>
      </c>
      <c r="E26" s="71">
        <f t="shared" si="23"/>
        <v>0</v>
      </c>
      <c r="F26" s="71">
        <f t="shared" si="23"/>
        <v>0</v>
      </c>
      <c r="G26" s="71">
        <f t="shared" si="23"/>
        <v>0</v>
      </c>
      <c r="H26" s="71">
        <f t="shared" si="23"/>
        <v>0</v>
      </c>
      <c r="I26" s="71">
        <f t="shared" si="23"/>
        <v>0</v>
      </c>
      <c r="J26" s="71">
        <f t="shared" si="23"/>
        <v>0</v>
      </c>
      <c r="K26" s="71">
        <f t="shared" si="23"/>
        <v>0</v>
      </c>
      <c r="L26" s="71">
        <f>L529</f>
        <v>1392</v>
      </c>
      <c r="M26" s="71">
        <f>M33+M529</f>
        <v>11722.6</v>
      </c>
      <c r="N26" s="71">
        <f>N33+N529</f>
        <v>0</v>
      </c>
      <c r="O26" s="71">
        <f>O33+O529</f>
        <v>0</v>
      </c>
    </row>
    <row r="27" spans="1:21" ht="17.25" customHeight="1" x14ac:dyDescent="0.2">
      <c r="A27" s="164"/>
      <c r="B27" s="164"/>
      <c r="C27" s="101" t="s">
        <v>13</v>
      </c>
      <c r="D27" s="69">
        <f t="shared" si="15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</row>
    <row r="28" spans="1:21" ht="15.75" x14ac:dyDescent="0.2">
      <c r="A28" s="171" t="s">
        <v>235</v>
      </c>
      <c r="B28" s="174" t="s">
        <v>142</v>
      </c>
      <c r="C28" s="101" t="s">
        <v>7</v>
      </c>
      <c r="D28" s="69">
        <f t="shared" ref="D28:O28" si="24">D29+D31+D34+D37</f>
        <v>12484069.6</v>
      </c>
      <c r="E28" s="69">
        <f t="shared" si="24"/>
        <v>190159.7</v>
      </c>
      <c r="F28" s="69">
        <f t="shared" si="24"/>
        <v>25969.5</v>
      </c>
      <c r="G28" s="69">
        <f t="shared" si="24"/>
        <v>41615.9</v>
      </c>
      <c r="H28" s="69">
        <f t="shared" si="24"/>
        <v>112179.9</v>
      </c>
      <c r="I28" s="69">
        <f t="shared" si="24"/>
        <v>55446.6</v>
      </c>
      <c r="J28" s="69">
        <f t="shared" si="24"/>
        <v>621253.9</v>
      </c>
      <c r="K28" s="69">
        <f t="shared" si="24"/>
        <v>1099158.2</v>
      </c>
      <c r="L28" s="69">
        <f t="shared" si="24"/>
        <v>3086603.5</v>
      </c>
      <c r="M28" s="69">
        <f t="shared" si="24"/>
        <v>3811723.4</v>
      </c>
      <c r="N28" s="69">
        <f t="shared" si="24"/>
        <v>2889408.8</v>
      </c>
      <c r="O28" s="69">
        <f t="shared" si="24"/>
        <v>550550.19999999995</v>
      </c>
      <c r="P28" s="67"/>
      <c r="Q28" s="60"/>
    </row>
    <row r="29" spans="1:21" ht="31.5" customHeight="1" x14ac:dyDescent="0.2">
      <c r="A29" s="172"/>
      <c r="B29" s="175"/>
      <c r="C29" s="101" t="s">
        <v>80</v>
      </c>
      <c r="D29" s="69">
        <f>E29+F29+G29+H29+I29+J29+K29+L29+M29+N29+O29</f>
        <v>98793.9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5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5"/>
        <v>0</v>
      </c>
      <c r="H29" s="69">
        <f t="shared" si="25"/>
        <v>0</v>
      </c>
      <c r="I29" s="69">
        <f t="shared" si="25"/>
        <v>0</v>
      </c>
      <c r="J29" s="69">
        <f t="shared" si="25"/>
        <v>0</v>
      </c>
      <c r="K29" s="69">
        <f t="shared" si="25"/>
        <v>0</v>
      </c>
      <c r="L29" s="69">
        <f t="shared" si="25"/>
        <v>0</v>
      </c>
      <c r="M29" s="69">
        <f t="shared" si="25"/>
        <v>0</v>
      </c>
      <c r="N29" s="69">
        <f t="shared" si="25"/>
        <v>0</v>
      </c>
      <c r="O29" s="69">
        <f t="shared" si="25"/>
        <v>0</v>
      </c>
    </row>
    <row r="30" spans="1:21" ht="31.5" x14ac:dyDescent="0.2">
      <c r="A30" s="172"/>
      <c r="B30" s="175"/>
      <c r="C30" s="74" t="s">
        <v>81</v>
      </c>
      <c r="D30" s="69">
        <f t="shared" ref="D30:D37" si="26">E30+F30+G30+H30+I30+J30+K30+L30+M30+N30+O30</f>
        <v>98793.9</v>
      </c>
      <c r="E30" s="71">
        <f>E63</f>
        <v>98793.9</v>
      </c>
      <c r="F30" s="71">
        <f t="shared" ref="F30:K30" si="27">F63</f>
        <v>0</v>
      </c>
      <c r="G30" s="71">
        <f t="shared" si="27"/>
        <v>0</v>
      </c>
      <c r="H30" s="71">
        <f t="shared" si="27"/>
        <v>0</v>
      </c>
      <c r="I30" s="71">
        <f t="shared" si="27"/>
        <v>0</v>
      </c>
      <c r="J30" s="71">
        <f t="shared" si="27"/>
        <v>0</v>
      </c>
      <c r="K30" s="71">
        <f t="shared" si="27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</row>
    <row r="31" spans="1:21" ht="31.5" x14ac:dyDescent="0.2">
      <c r="A31" s="172"/>
      <c r="B31" s="175"/>
      <c r="C31" s="101" t="s">
        <v>69</v>
      </c>
      <c r="D31" s="69">
        <f t="shared" si="26"/>
        <v>11789260.6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28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28"/>
        <v>26276.799999999999</v>
      </c>
      <c r="H31" s="69">
        <f t="shared" si="28"/>
        <v>47416.2</v>
      </c>
      <c r="I31" s="69">
        <f t="shared" si="28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</f>
        <v>3708286.5</v>
      </c>
      <c r="N31" s="69">
        <f>N40+N46+N52+N58+N64+N70+N76+N83+N90+N96+N102+N109+N116+N123+N131+N140+N147+N154+N160+N167+N174+N180+N186+N191+N196+N201+N208+N218+N223+N228++N233+N238+N243+N248+N253+N258+N263+N268+N273+N303+N278+N283+N288+N293+N298+N333+N348+N353+N363+N368+N383+N388+N413</f>
        <v>2842376.5</v>
      </c>
      <c r="O31" s="69">
        <f>O40+O46+O52+O58+O64+O70+O76+O83+O90+O96+O102+O109+O116+O123+O131+O140+O147+O154+O160+O167+O174+O180+O186+O191+O196+O201+O208+O218+O223+O228++O233+O238+O243+O248+O253+O258+O263+O268+O273+O303+O278+O283+O288+O293+O298+O333+O348+O353+O363+O368+O383+O388+O413</f>
        <v>520121.2</v>
      </c>
    </row>
    <row r="32" spans="1:21" ht="31.5" x14ac:dyDescent="0.2">
      <c r="A32" s="172"/>
      <c r="B32" s="175"/>
      <c r="C32" s="74" t="s">
        <v>79</v>
      </c>
      <c r="D32" s="69">
        <f t="shared" si="26"/>
        <v>43117.100000000006</v>
      </c>
      <c r="E32" s="71">
        <f t="shared" ref="E32:K32" si="29">E77+E124+E133+E148</f>
        <v>43117.100000000006</v>
      </c>
      <c r="F32" s="71">
        <f t="shared" si="29"/>
        <v>0</v>
      </c>
      <c r="G32" s="71">
        <f t="shared" si="29"/>
        <v>0</v>
      </c>
      <c r="H32" s="71">
        <f t="shared" si="29"/>
        <v>0</v>
      </c>
      <c r="I32" s="71">
        <f t="shared" si="29"/>
        <v>0</v>
      </c>
      <c r="J32" s="71">
        <f t="shared" si="29"/>
        <v>0</v>
      </c>
      <c r="K32" s="71">
        <f t="shared" si="29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</row>
    <row r="33" spans="1:22" ht="31.5" customHeight="1" x14ac:dyDescent="0.2">
      <c r="A33" s="172"/>
      <c r="B33" s="175"/>
      <c r="C33" s="74" t="s">
        <v>81</v>
      </c>
      <c r="D33" s="69">
        <f t="shared" si="26"/>
        <v>30911.1</v>
      </c>
      <c r="E33" s="71">
        <f>E103+E161+E132</f>
        <v>20580.5</v>
      </c>
      <c r="F33" s="71">
        <f t="shared" ref="F33:K33" si="30">F103+F161</f>
        <v>0</v>
      </c>
      <c r="G33" s="71">
        <f t="shared" si="30"/>
        <v>0</v>
      </c>
      <c r="H33" s="71">
        <f t="shared" si="30"/>
        <v>0</v>
      </c>
      <c r="I33" s="71">
        <f t="shared" si="30"/>
        <v>0</v>
      </c>
      <c r="J33" s="71">
        <f t="shared" si="30"/>
        <v>0</v>
      </c>
      <c r="K33" s="71">
        <f t="shared" si="30"/>
        <v>0</v>
      </c>
      <c r="L33" s="71">
        <f>L103+L161</f>
        <v>0</v>
      </c>
      <c r="M33" s="71">
        <f>M103+M161+M202</f>
        <v>10330.6</v>
      </c>
      <c r="N33" s="71">
        <f t="shared" ref="N33:O33" si="31">N103+N161+N202</f>
        <v>0</v>
      </c>
      <c r="O33" s="71">
        <f t="shared" si="31"/>
        <v>0</v>
      </c>
    </row>
    <row r="34" spans="1:22" ht="31.5" x14ac:dyDescent="0.2">
      <c r="A34" s="172"/>
      <c r="B34" s="175"/>
      <c r="C34" s="101" t="s">
        <v>65</v>
      </c>
      <c r="D34" s="69">
        <f>E34+F34+G34+H34+I34+J34+K34+L34+M34+N34+O34</f>
        <v>596015.1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32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32"/>
        <v>15339.1</v>
      </c>
      <c r="H34" s="69">
        <f t="shared" si="32"/>
        <v>64763.7</v>
      </c>
      <c r="I34" s="69">
        <f t="shared" si="32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</f>
        <v>103436.89999999998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47032.299999999996</v>
      </c>
      <c r="O34" s="69">
        <f t="shared" ref="O34" si="33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30429</v>
      </c>
      <c r="P34" s="69">
        <f t="shared" ref="P34:V34" si="34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34"/>
        <v>0</v>
      </c>
      <c r="R34" s="69">
        <f t="shared" si="34"/>
        <v>0</v>
      </c>
      <c r="S34" s="69">
        <f t="shared" si="34"/>
        <v>0</v>
      </c>
      <c r="T34" s="69">
        <f t="shared" si="34"/>
        <v>0</v>
      </c>
      <c r="U34" s="69">
        <f t="shared" si="34"/>
        <v>0</v>
      </c>
      <c r="V34" s="69">
        <f t="shared" si="34"/>
        <v>0</v>
      </c>
    </row>
    <row r="35" spans="1:22" ht="31.5" x14ac:dyDescent="0.2">
      <c r="A35" s="172"/>
      <c r="B35" s="175"/>
      <c r="C35" s="74" t="s">
        <v>79</v>
      </c>
      <c r="D35" s="69">
        <f t="shared" si="26"/>
        <v>20554.099999999999</v>
      </c>
      <c r="E35" s="71">
        <f>E48+E54+E72+E79+E85+E92+E98+E111+E118+E126+E135+E142+E150+E156+E169+E176+E182+E42+E66</f>
        <v>14494.8</v>
      </c>
      <c r="F35" s="71">
        <f t="shared" ref="F35:K35" si="35">F48+F54+F72+F79+F85+F92+F98+F111+F118+F126+F135+F142+F150+F156+F169+F176+F182+F42+F66</f>
        <v>2151</v>
      </c>
      <c r="G35" s="71">
        <f t="shared" si="35"/>
        <v>3908.3</v>
      </c>
      <c r="H35" s="71">
        <f t="shared" si="35"/>
        <v>0</v>
      </c>
      <c r="I35" s="71">
        <f t="shared" si="35"/>
        <v>0</v>
      </c>
      <c r="J35" s="71">
        <f t="shared" si="35"/>
        <v>0</v>
      </c>
      <c r="K35" s="71">
        <f t="shared" si="35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</row>
    <row r="36" spans="1:22" ht="31.5" x14ac:dyDescent="0.2">
      <c r="A36" s="172"/>
      <c r="B36" s="175"/>
      <c r="C36" s="74" t="s">
        <v>448</v>
      </c>
      <c r="D36" s="71">
        <f t="shared" si="26"/>
        <v>659.4</v>
      </c>
      <c r="E36" s="71">
        <f>E204</f>
        <v>0</v>
      </c>
      <c r="F36" s="71">
        <f t="shared" ref="F36:O36" si="36">F204</f>
        <v>0</v>
      </c>
      <c r="G36" s="71">
        <f t="shared" si="36"/>
        <v>0</v>
      </c>
      <c r="H36" s="71">
        <f t="shared" si="36"/>
        <v>0</v>
      </c>
      <c r="I36" s="71">
        <f t="shared" si="36"/>
        <v>0</v>
      </c>
      <c r="J36" s="71">
        <f t="shared" si="36"/>
        <v>0</v>
      </c>
      <c r="K36" s="71">
        <f t="shared" si="36"/>
        <v>0</v>
      </c>
      <c r="L36" s="71">
        <f t="shared" si="36"/>
        <v>0</v>
      </c>
      <c r="M36" s="71">
        <f t="shared" si="36"/>
        <v>659.4</v>
      </c>
      <c r="N36" s="71">
        <f t="shared" si="36"/>
        <v>0</v>
      </c>
      <c r="O36" s="71">
        <f t="shared" si="36"/>
        <v>0</v>
      </c>
    </row>
    <row r="37" spans="1:22" ht="18.75" customHeight="1" x14ac:dyDescent="0.2">
      <c r="A37" s="173"/>
      <c r="B37" s="176"/>
      <c r="C37" s="101" t="s">
        <v>13</v>
      </c>
      <c r="D37" s="69">
        <f t="shared" si="26"/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</row>
    <row r="38" spans="1:22" ht="15.75" x14ac:dyDescent="0.2">
      <c r="A38" s="138" t="s">
        <v>94</v>
      </c>
      <c r="B38" s="150" t="s">
        <v>371</v>
      </c>
      <c r="C38" s="96" t="s">
        <v>7</v>
      </c>
      <c r="D38" s="69">
        <f t="shared" ref="D38:D43" si="37">E38+F38+G38+H38+I38+J38+K38+L38+M38+N38+O38</f>
        <v>20898.7</v>
      </c>
      <c r="E38" s="69">
        <f t="shared" ref="E38:J38" si="38">SUM(E39:E43)</f>
        <v>279.3</v>
      </c>
      <c r="F38" s="69">
        <f t="shared" si="38"/>
        <v>7999</v>
      </c>
      <c r="G38" s="69">
        <f>G39+G40+G41+G43</f>
        <v>3908.3</v>
      </c>
      <c r="H38" s="69">
        <f t="shared" si="38"/>
        <v>0</v>
      </c>
      <c r="I38" s="69">
        <f t="shared" si="38"/>
        <v>7695.7</v>
      </c>
      <c r="J38" s="69">
        <f t="shared" si="3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</row>
    <row r="39" spans="1:22" ht="15.75" x14ac:dyDescent="0.2">
      <c r="A39" s="138"/>
      <c r="B39" s="151"/>
      <c r="C39" s="101" t="s">
        <v>10</v>
      </c>
      <c r="D39" s="69">
        <f t="shared" si="37"/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</row>
    <row r="40" spans="1:22" ht="15.75" x14ac:dyDescent="0.2">
      <c r="A40" s="138"/>
      <c r="B40" s="151"/>
      <c r="C40" s="101" t="s">
        <v>11</v>
      </c>
      <c r="D40" s="69">
        <f t="shared" si="37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</row>
    <row r="41" spans="1:22" ht="15.75" x14ac:dyDescent="0.2">
      <c r="A41" s="138"/>
      <c r="B41" s="151"/>
      <c r="C41" s="101" t="s">
        <v>12</v>
      </c>
      <c r="D41" s="69">
        <f t="shared" si="37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</row>
    <row r="42" spans="1:22" ht="31.5" x14ac:dyDescent="0.2">
      <c r="A42" s="138"/>
      <c r="B42" s="151"/>
      <c r="C42" s="74" t="s">
        <v>79</v>
      </c>
      <c r="D42" s="71">
        <f t="shared" si="37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</row>
    <row r="43" spans="1:22" ht="20.25" customHeight="1" x14ac:dyDescent="0.2">
      <c r="A43" s="138"/>
      <c r="B43" s="152"/>
      <c r="C43" s="101" t="s">
        <v>13</v>
      </c>
      <c r="D43" s="69">
        <f t="shared" si="37"/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</row>
    <row r="44" spans="1:22" ht="15.75" x14ac:dyDescent="0.2">
      <c r="A44" s="138" t="s">
        <v>95</v>
      </c>
      <c r="B44" s="147" t="s">
        <v>247</v>
      </c>
      <c r="C44" s="101" t="s">
        <v>7</v>
      </c>
      <c r="D44" s="69">
        <f>D45+D46+D47+D49</f>
        <v>89901.1</v>
      </c>
      <c r="E44" s="69">
        <f t="shared" ref="E44:O44" si="39">E45+E46+E47+E49</f>
        <v>2524.5</v>
      </c>
      <c r="F44" s="69">
        <f t="shared" si="39"/>
        <v>0</v>
      </c>
      <c r="G44" s="69">
        <f t="shared" si="39"/>
        <v>9700</v>
      </c>
      <c r="H44" s="69">
        <f t="shared" si="39"/>
        <v>55770.7</v>
      </c>
      <c r="I44" s="69">
        <f t="shared" si="39"/>
        <v>20706</v>
      </c>
      <c r="J44" s="69">
        <f>J45+J46+J47+J49</f>
        <v>1153.1000000000004</v>
      </c>
      <c r="K44" s="69">
        <f t="shared" si="39"/>
        <v>46.800000000000004</v>
      </c>
      <c r="L44" s="69">
        <f t="shared" si="39"/>
        <v>0</v>
      </c>
      <c r="M44" s="69">
        <f t="shared" si="39"/>
        <v>0</v>
      </c>
      <c r="N44" s="69">
        <f t="shared" si="39"/>
        <v>0</v>
      </c>
      <c r="O44" s="69">
        <f t="shared" si="39"/>
        <v>0</v>
      </c>
      <c r="P44" s="62" t="s">
        <v>354</v>
      </c>
    </row>
    <row r="45" spans="1:22" ht="17.25" customHeight="1" x14ac:dyDescent="0.2">
      <c r="A45" s="138"/>
      <c r="B45" s="147"/>
      <c r="C45" s="101" t="s">
        <v>10</v>
      </c>
      <c r="D45" s="69">
        <f>E45+F45+G45+H45+I45+J45+K45+L45+M45+N45+O45</f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</row>
    <row r="46" spans="1:22" ht="15.75" x14ac:dyDescent="0.2">
      <c r="A46" s="138"/>
      <c r="B46" s="147"/>
      <c r="C46" s="101" t="s">
        <v>11</v>
      </c>
      <c r="D46" s="69">
        <f>E46+F46+G46+H46+I46+J46+K46+L46+M46+N46+O46</f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</row>
    <row r="47" spans="1:22" ht="31.5" x14ac:dyDescent="0.2">
      <c r="A47" s="138"/>
      <c r="B47" s="147"/>
      <c r="C47" s="101" t="s">
        <v>65</v>
      </c>
      <c r="D47" s="69">
        <f>E47+F47+G47+H47+I47+J47+K47+L47+M47+N47+O47</f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</row>
    <row r="48" spans="1:22" ht="31.5" x14ac:dyDescent="0.2">
      <c r="A48" s="138"/>
      <c r="B48" s="147"/>
      <c r="C48" s="74" t="s">
        <v>79</v>
      </c>
      <c r="D48" s="69">
        <f>E48+F48+G48+H48+I48+J48+K48+L48+M48+N48+O48</f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</row>
    <row r="49" spans="1:17" ht="18" customHeight="1" x14ac:dyDescent="0.2">
      <c r="A49" s="138"/>
      <c r="B49" s="147"/>
      <c r="C49" s="101" t="s">
        <v>13</v>
      </c>
      <c r="D49" s="69">
        <f>E49+F49+G49+H49+I49+J49+K49+L49+M49+N49+O49</f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</row>
    <row r="50" spans="1:17" ht="15.75" x14ac:dyDescent="0.2">
      <c r="A50" s="143" t="s">
        <v>131</v>
      </c>
      <c r="B50" s="150" t="s">
        <v>227</v>
      </c>
      <c r="C50" s="101" t="s">
        <v>7</v>
      </c>
      <c r="D50" s="69">
        <f>E50+F50+G50+H50+I50+J50</f>
        <v>342.5</v>
      </c>
      <c r="E50" s="69">
        <f t="shared" ref="E50:K50" si="40">E51+E52+E53+E55</f>
        <v>330.5</v>
      </c>
      <c r="F50" s="69">
        <f t="shared" si="40"/>
        <v>12</v>
      </c>
      <c r="G50" s="69">
        <f t="shared" si="40"/>
        <v>0</v>
      </c>
      <c r="H50" s="69">
        <f t="shared" si="40"/>
        <v>0</v>
      </c>
      <c r="I50" s="69">
        <f t="shared" si="40"/>
        <v>0</v>
      </c>
      <c r="J50" s="69">
        <f t="shared" si="40"/>
        <v>0</v>
      </c>
      <c r="K50" s="69">
        <f t="shared" si="40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</row>
    <row r="51" spans="1:17" ht="15.75" x14ac:dyDescent="0.2">
      <c r="A51" s="144"/>
      <c r="B51" s="151"/>
      <c r="C51" s="101" t="s">
        <v>10</v>
      </c>
      <c r="D51" s="69">
        <f>E51+F51+G51+H51+I51+J51</f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</row>
    <row r="52" spans="1:17" ht="15.75" x14ac:dyDescent="0.2">
      <c r="A52" s="144"/>
      <c r="B52" s="151"/>
      <c r="C52" s="101" t="s">
        <v>11</v>
      </c>
      <c r="D52" s="69">
        <f>E52+F52+G52+H52+I52+J52</f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</row>
    <row r="53" spans="1:17" ht="30.75" customHeight="1" x14ac:dyDescent="0.2">
      <c r="A53" s="144"/>
      <c r="B53" s="151"/>
      <c r="C53" s="101" t="s">
        <v>65</v>
      </c>
      <c r="D53" s="69">
        <f>E53+F53+G53+H53+I53+J53</f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</row>
    <row r="54" spans="1:17" ht="32.25" customHeight="1" x14ac:dyDescent="0.2">
      <c r="A54" s="144"/>
      <c r="B54" s="151"/>
      <c r="C54" s="74" t="s">
        <v>79</v>
      </c>
      <c r="D54" s="71">
        <f>E54</f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</row>
    <row r="55" spans="1:17" ht="26.25" customHeight="1" x14ac:dyDescent="0.2">
      <c r="A55" s="145"/>
      <c r="B55" s="152"/>
      <c r="C55" s="101" t="s">
        <v>13</v>
      </c>
      <c r="D55" s="69">
        <f>E55+F55+G55+H55+I55+J55</f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</row>
    <row r="56" spans="1:17" ht="15.75" x14ac:dyDescent="0.2">
      <c r="A56" s="138" t="s">
        <v>96</v>
      </c>
      <c r="B56" s="147" t="s">
        <v>88</v>
      </c>
      <c r="C56" s="101" t="s">
        <v>7</v>
      </c>
      <c r="D56" s="69">
        <f>E56+F56+G56+H56+I56+J56+K56+L56+M56+N56+O56</f>
        <v>5540</v>
      </c>
      <c r="E56" s="69">
        <f t="shared" ref="E56:K56" si="41">E57+E58+E59+E60</f>
        <v>5540</v>
      </c>
      <c r="F56" s="69">
        <f t="shared" si="41"/>
        <v>0</v>
      </c>
      <c r="G56" s="69">
        <f t="shared" si="41"/>
        <v>0</v>
      </c>
      <c r="H56" s="69">
        <f t="shared" si="41"/>
        <v>0</v>
      </c>
      <c r="I56" s="69">
        <f t="shared" si="41"/>
        <v>0</v>
      </c>
      <c r="J56" s="69">
        <f t="shared" si="41"/>
        <v>0</v>
      </c>
      <c r="K56" s="69">
        <f t="shared" si="41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</row>
    <row r="57" spans="1:17" ht="17.25" customHeight="1" x14ac:dyDescent="0.2">
      <c r="A57" s="138"/>
      <c r="B57" s="147"/>
      <c r="C57" s="101" t="s">
        <v>10</v>
      </c>
      <c r="D57" s="69">
        <f>E57+F57+G57+H57+I57+J57+K57+L57+M57+N57+O57</f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</row>
    <row r="58" spans="1:17" ht="15.75" x14ac:dyDescent="0.2">
      <c r="A58" s="138"/>
      <c r="B58" s="147"/>
      <c r="C58" s="101" t="s">
        <v>11</v>
      </c>
      <c r="D58" s="69">
        <f>E58+F58+G58+H58+I58+J58+K58+L58+M58+N58+O58</f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</row>
    <row r="59" spans="1:17" ht="15.75" x14ac:dyDescent="0.2">
      <c r="A59" s="138"/>
      <c r="B59" s="147"/>
      <c r="C59" s="101" t="s">
        <v>12</v>
      </c>
      <c r="D59" s="69">
        <f>E59+F59+G59+H59+I59+J59+K59+L59+M59+N59+O59</f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</row>
    <row r="60" spans="1:17" ht="19.5" customHeight="1" x14ac:dyDescent="0.2">
      <c r="A60" s="138"/>
      <c r="B60" s="147"/>
      <c r="C60" s="101" t="s">
        <v>13</v>
      </c>
      <c r="D60" s="69">
        <f>E60+F60+G60+H60+I60+J60+K60+L60+M60+N60+O60</f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</row>
    <row r="61" spans="1:17" ht="15.75" x14ac:dyDescent="0.2">
      <c r="A61" s="138" t="s">
        <v>97</v>
      </c>
      <c r="B61" s="150" t="s">
        <v>420</v>
      </c>
      <c r="C61" s="101" t="s">
        <v>7</v>
      </c>
      <c r="D61" s="69">
        <f>E61+F61+G61+H61+I61+J61</f>
        <v>103147.9</v>
      </c>
      <c r="E61" s="69">
        <f>E62+E64+E65+E67</f>
        <v>101289</v>
      </c>
      <c r="F61" s="69">
        <f>F62+F64+F65+F67</f>
        <v>1200</v>
      </c>
      <c r="G61" s="69">
        <f t="shared" ref="G61:O61" si="42">G62+G64+G65+G67</f>
        <v>0</v>
      </c>
      <c r="H61" s="69">
        <f t="shared" si="42"/>
        <v>600</v>
      </c>
      <c r="I61" s="69">
        <f t="shared" si="42"/>
        <v>35.5</v>
      </c>
      <c r="J61" s="69">
        <f t="shared" si="42"/>
        <v>23.4</v>
      </c>
      <c r="K61" s="69">
        <f t="shared" si="42"/>
        <v>0</v>
      </c>
      <c r="L61" s="69">
        <f t="shared" si="42"/>
        <v>153.6</v>
      </c>
      <c r="M61" s="69">
        <f t="shared" si="42"/>
        <v>180</v>
      </c>
      <c r="N61" s="69">
        <f t="shared" si="42"/>
        <v>0</v>
      </c>
      <c r="O61" s="69">
        <f t="shared" si="42"/>
        <v>0</v>
      </c>
      <c r="P61" s="58">
        <v>35.4</v>
      </c>
      <c r="Q61" s="67">
        <f>I61-P61</f>
        <v>0.10000000000000142</v>
      </c>
    </row>
    <row r="62" spans="1:17" ht="31.5" x14ac:dyDescent="0.2">
      <c r="A62" s="138"/>
      <c r="B62" s="151"/>
      <c r="C62" s="101" t="s">
        <v>80</v>
      </c>
      <c r="D62" s="69">
        <f t="shared" ref="D62:D67" si="43">E62+F62+G62+H62+I62+J62+K62+L62+M62+N62+O62</f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</row>
    <row r="63" spans="1:17" ht="31.5" x14ac:dyDescent="0.2">
      <c r="A63" s="138"/>
      <c r="B63" s="151"/>
      <c r="C63" s="74" t="s">
        <v>81</v>
      </c>
      <c r="D63" s="69">
        <f t="shared" si="43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</row>
    <row r="64" spans="1:17" ht="15.75" x14ac:dyDescent="0.2">
      <c r="A64" s="138"/>
      <c r="B64" s="151"/>
      <c r="C64" s="101" t="s">
        <v>11</v>
      </c>
      <c r="D64" s="69">
        <f t="shared" si="43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</row>
    <row r="65" spans="1:15" ht="15.75" x14ac:dyDescent="0.2">
      <c r="A65" s="138"/>
      <c r="B65" s="151"/>
      <c r="C65" s="101" t="s">
        <v>12</v>
      </c>
      <c r="D65" s="69">
        <f t="shared" si="43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</row>
    <row r="66" spans="1:15" ht="31.5" x14ac:dyDescent="0.2">
      <c r="A66" s="138"/>
      <c r="B66" s="151"/>
      <c r="C66" s="74" t="s">
        <v>79</v>
      </c>
      <c r="D66" s="71">
        <f t="shared" si="43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</row>
    <row r="67" spans="1:15" ht="21" customHeight="1" x14ac:dyDescent="0.2">
      <c r="A67" s="138"/>
      <c r="B67" s="152"/>
      <c r="C67" s="101" t="s">
        <v>13</v>
      </c>
      <c r="D67" s="69">
        <f t="shared" si="43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</row>
    <row r="68" spans="1:15" ht="15.75" x14ac:dyDescent="0.2">
      <c r="A68" s="138" t="s">
        <v>98</v>
      </c>
      <c r="B68" s="147" t="s">
        <v>61</v>
      </c>
      <c r="C68" s="101" t="s">
        <v>7</v>
      </c>
      <c r="D68" s="69">
        <f>D69+D70+D71+D73</f>
        <v>2863</v>
      </c>
      <c r="E68" s="69">
        <f t="shared" ref="E68:K68" si="44">E69+E70+E71+E73</f>
        <v>2863</v>
      </c>
      <c r="F68" s="69">
        <f t="shared" si="44"/>
        <v>0</v>
      </c>
      <c r="G68" s="69">
        <f t="shared" si="44"/>
        <v>0</v>
      </c>
      <c r="H68" s="69">
        <f t="shared" si="44"/>
        <v>0</v>
      </c>
      <c r="I68" s="69">
        <f t="shared" si="44"/>
        <v>0</v>
      </c>
      <c r="J68" s="69">
        <f t="shared" si="44"/>
        <v>0</v>
      </c>
      <c r="K68" s="69">
        <f t="shared" si="44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</row>
    <row r="69" spans="1:15" ht="15.75" x14ac:dyDescent="0.2">
      <c r="A69" s="138"/>
      <c r="B69" s="147"/>
      <c r="C69" s="101" t="s">
        <v>10</v>
      </c>
      <c r="D69" s="69">
        <f>E69+F69+G69+H69+I69+J69+K69+L69+M69+N69+O69</f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</row>
    <row r="70" spans="1:15" ht="15.75" x14ac:dyDescent="0.2">
      <c r="A70" s="138"/>
      <c r="B70" s="147"/>
      <c r="C70" s="101" t="s">
        <v>11</v>
      </c>
      <c r="D70" s="69">
        <f>E70+F70+G70+H70+I70+J70+K70+L70+M70+N70+O70</f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</row>
    <row r="71" spans="1:15" ht="31.5" x14ac:dyDescent="0.2">
      <c r="A71" s="138"/>
      <c r="B71" s="147"/>
      <c r="C71" s="101" t="s">
        <v>65</v>
      </c>
      <c r="D71" s="69">
        <f>E71+F71+G71+H71+I71+J71+K71+L71+M71+N71+O71</f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</row>
    <row r="72" spans="1:15" ht="33" customHeight="1" x14ac:dyDescent="0.2">
      <c r="A72" s="138"/>
      <c r="B72" s="147"/>
      <c r="C72" s="74" t="s">
        <v>79</v>
      </c>
      <c r="D72" s="69">
        <f>E72+F72+G72+H72+I72+J72+K72+L72+M72+N72+O72</f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</row>
    <row r="73" spans="1:15" ht="20.25" customHeight="1" x14ac:dyDescent="0.2">
      <c r="A73" s="138"/>
      <c r="B73" s="147"/>
      <c r="C73" s="101" t="s">
        <v>13</v>
      </c>
      <c r="D73" s="69">
        <f>E73+F73+G73+H73+I73+J73+K73+L73+M73+N73+O73</f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</row>
    <row r="74" spans="1:15" ht="15.75" x14ac:dyDescent="0.2">
      <c r="A74" s="138" t="s">
        <v>99</v>
      </c>
      <c r="B74" s="147" t="s">
        <v>138</v>
      </c>
      <c r="C74" s="101" t="s">
        <v>7</v>
      </c>
      <c r="D74" s="69">
        <f t="shared" ref="D74:K74" si="45">D75+D76+D78+D80</f>
        <v>19253.100000000002</v>
      </c>
      <c r="E74" s="69">
        <f t="shared" si="45"/>
        <v>19253.100000000002</v>
      </c>
      <c r="F74" s="69">
        <f t="shared" si="45"/>
        <v>0</v>
      </c>
      <c r="G74" s="69">
        <f t="shared" si="45"/>
        <v>0</v>
      </c>
      <c r="H74" s="69">
        <f t="shared" si="45"/>
        <v>0</v>
      </c>
      <c r="I74" s="69">
        <f t="shared" si="45"/>
        <v>0</v>
      </c>
      <c r="J74" s="69">
        <f t="shared" si="45"/>
        <v>0</v>
      </c>
      <c r="K74" s="69">
        <f t="shared" si="45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</row>
    <row r="75" spans="1:15" ht="15.75" x14ac:dyDescent="0.2">
      <c r="A75" s="138"/>
      <c r="B75" s="147"/>
      <c r="C75" s="101" t="s">
        <v>10</v>
      </c>
      <c r="D75" s="69">
        <f>E75+F75+G75+H75+I75+J75</f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</row>
    <row r="76" spans="1:15" ht="33" customHeight="1" x14ac:dyDescent="0.2">
      <c r="A76" s="138"/>
      <c r="B76" s="147"/>
      <c r="C76" s="101" t="s">
        <v>69</v>
      </c>
      <c r="D76" s="69">
        <f>E76+F76+G76+H76+I76+J76</f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</row>
    <row r="77" spans="1:15" ht="32.25" customHeight="1" x14ac:dyDescent="0.2">
      <c r="A77" s="138"/>
      <c r="B77" s="147"/>
      <c r="C77" s="74" t="s">
        <v>79</v>
      </c>
      <c r="D77" s="71">
        <f>E77</f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</row>
    <row r="78" spans="1:15" ht="33.75" customHeight="1" x14ac:dyDescent="0.2">
      <c r="A78" s="138"/>
      <c r="B78" s="147"/>
      <c r="C78" s="101" t="s">
        <v>65</v>
      </c>
      <c r="D78" s="69">
        <f>E78+F78+G78+H78+I78+J78</f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</row>
    <row r="79" spans="1:15" ht="30.75" customHeight="1" x14ac:dyDescent="0.2">
      <c r="A79" s="138"/>
      <c r="B79" s="147"/>
      <c r="C79" s="74" t="s">
        <v>79</v>
      </c>
      <c r="D79" s="71">
        <f>E79</f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</row>
    <row r="80" spans="1:15" ht="18.75" customHeight="1" x14ac:dyDescent="0.2">
      <c r="A80" s="138"/>
      <c r="B80" s="147"/>
      <c r="C80" s="101" t="s">
        <v>13</v>
      </c>
      <c r="D80" s="69">
        <f>E80+F80+G80+H80+I80+J80</f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</row>
    <row r="81" spans="1:15" ht="15.75" x14ac:dyDescent="0.2">
      <c r="A81" s="138" t="s">
        <v>100</v>
      </c>
      <c r="B81" s="150" t="s">
        <v>68</v>
      </c>
      <c r="C81" s="101" t="s">
        <v>7</v>
      </c>
      <c r="D81" s="69">
        <f t="shared" ref="D81:I81" si="46">D82+D83+D84+D86</f>
        <v>79.5</v>
      </c>
      <c r="E81" s="69">
        <f t="shared" si="46"/>
        <v>79.5</v>
      </c>
      <c r="F81" s="69">
        <f t="shared" si="46"/>
        <v>0</v>
      </c>
      <c r="G81" s="69">
        <f t="shared" si="46"/>
        <v>0</v>
      </c>
      <c r="H81" s="69">
        <f t="shared" si="46"/>
        <v>0</v>
      </c>
      <c r="I81" s="69">
        <f t="shared" si="46"/>
        <v>0</v>
      </c>
      <c r="J81" s="69">
        <f t="shared" ref="J81:O81" si="47">J82+J83+J84+J86</f>
        <v>0</v>
      </c>
      <c r="K81" s="69">
        <f t="shared" si="47"/>
        <v>0</v>
      </c>
      <c r="L81" s="69">
        <f t="shared" si="47"/>
        <v>0</v>
      </c>
      <c r="M81" s="69">
        <f t="shared" si="47"/>
        <v>0</v>
      </c>
      <c r="N81" s="69">
        <f t="shared" si="47"/>
        <v>0</v>
      </c>
      <c r="O81" s="69">
        <f t="shared" si="47"/>
        <v>0</v>
      </c>
    </row>
    <row r="82" spans="1:15" ht="18.75" customHeight="1" x14ac:dyDescent="0.2">
      <c r="A82" s="138"/>
      <c r="B82" s="151"/>
      <c r="C82" s="101" t="s">
        <v>10</v>
      </c>
      <c r="D82" s="69">
        <f>E82+F82+G82+H82+I82+J82</f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</row>
    <row r="83" spans="1:15" ht="16.5" customHeight="1" x14ac:dyDescent="0.2">
      <c r="A83" s="138"/>
      <c r="B83" s="151"/>
      <c r="C83" s="101" t="s">
        <v>11</v>
      </c>
      <c r="D83" s="69">
        <f>E83+F83+G83+H83+I83+J83</f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</row>
    <row r="84" spans="1:15" ht="31.5" x14ac:dyDescent="0.2">
      <c r="A84" s="138"/>
      <c r="B84" s="151"/>
      <c r="C84" s="101" t="s">
        <v>65</v>
      </c>
      <c r="D84" s="69">
        <f>E84+F84+G84+H84+I84+J84</f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</row>
    <row r="85" spans="1:15" ht="30.75" customHeight="1" x14ac:dyDescent="0.2">
      <c r="A85" s="138"/>
      <c r="B85" s="151"/>
      <c r="C85" s="74" t="s">
        <v>79</v>
      </c>
      <c r="D85" s="71">
        <f>E85</f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</row>
    <row r="86" spans="1:15" ht="19.5" customHeight="1" x14ac:dyDescent="0.2">
      <c r="A86" s="138"/>
      <c r="B86" s="152"/>
      <c r="C86" s="101" t="s">
        <v>13</v>
      </c>
      <c r="D86" s="69">
        <f>E86+F86+G86+H86+I86+J86</f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</row>
    <row r="87" spans="1:15" ht="15.75" x14ac:dyDescent="0.2">
      <c r="A87" s="138" t="s">
        <v>101</v>
      </c>
      <c r="B87" s="147" t="s">
        <v>70</v>
      </c>
      <c r="C87" s="101" t="s">
        <v>7</v>
      </c>
      <c r="D87" s="69">
        <f t="shared" ref="D87:K87" si="48">D89+D90+D91+D93</f>
        <v>31.7</v>
      </c>
      <c r="E87" s="69">
        <f t="shared" si="48"/>
        <v>31.7</v>
      </c>
      <c r="F87" s="69">
        <f t="shared" si="48"/>
        <v>0</v>
      </c>
      <c r="G87" s="69">
        <f t="shared" si="48"/>
        <v>0</v>
      </c>
      <c r="H87" s="69">
        <f t="shared" si="48"/>
        <v>0</v>
      </c>
      <c r="I87" s="69">
        <f t="shared" si="48"/>
        <v>0</v>
      </c>
      <c r="J87" s="69">
        <f t="shared" si="48"/>
        <v>0</v>
      </c>
      <c r="K87" s="69">
        <f t="shared" si="48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</row>
    <row r="88" spans="1:15" ht="31.5" x14ac:dyDescent="0.2">
      <c r="A88" s="138"/>
      <c r="B88" s="147"/>
      <c r="C88" s="74" t="s">
        <v>79</v>
      </c>
      <c r="D88" s="71">
        <f>E88</f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</row>
    <row r="89" spans="1:15" ht="15.75" x14ac:dyDescent="0.2">
      <c r="A89" s="138"/>
      <c r="B89" s="147"/>
      <c r="C89" s="101" t="s">
        <v>10</v>
      </c>
      <c r="D89" s="69">
        <f>E89+F89+G89+H89+I89+J89</f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</row>
    <row r="90" spans="1:15" ht="15.75" x14ac:dyDescent="0.2">
      <c r="A90" s="138"/>
      <c r="B90" s="147"/>
      <c r="C90" s="101" t="s">
        <v>11</v>
      </c>
      <c r="D90" s="69">
        <f>E90+F90+G90+H90+I90+J90</f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</row>
    <row r="91" spans="1:15" ht="32.25" customHeight="1" x14ac:dyDescent="0.2">
      <c r="A91" s="138"/>
      <c r="B91" s="147"/>
      <c r="C91" s="101" t="s">
        <v>65</v>
      </c>
      <c r="D91" s="69">
        <f>E91+F91+G91+H91+I91+J91</f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</row>
    <row r="92" spans="1:15" ht="31.5" customHeight="1" x14ac:dyDescent="0.2">
      <c r="A92" s="138"/>
      <c r="B92" s="147"/>
      <c r="C92" s="74" t="s">
        <v>79</v>
      </c>
      <c r="D92" s="71">
        <f>E92</f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</row>
    <row r="93" spans="1:15" ht="18" customHeight="1" x14ac:dyDescent="0.2">
      <c r="A93" s="138"/>
      <c r="B93" s="147"/>
      <c r="C93" s="101" t="s">
        <v>13</v>
      </c>
      <c r="D93" s="69">
        <f>E93+F93+G93+H93+I93+J93</f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</row>
    <row r="94" spans="1:15" ht="15.75" x14ac:dyDescent="0.2">
      <c r="A94" s="138" t="s">
        <v>102</v>
      </c>
      <c r="B94" s="138" t="s">
        <v>208</v>
      </c>
      <c r="C94" s="101" t="s">
        <v>7</v>
      </c>
      <c r="D94" s="69">
        <f t="shared" ref="D94:K94" si="49">D95+D96+D97+D99</f>
        <v>7.8</v>
      </c>
      <c r="E94" s="69">
        <f t="shared" si="49"/>
        <v>7.8</v>
      </c>
      <c r="F94" s="69">
        <f t="shared" si="49"/>
        <v>0</v>
      </c>
      <c r="G94" s="69">
        <f t="shared" si="49"/>
        <v>0</v>
      </c>
      <c r="H94" s="69">
        <f t="shared" si="49"/>
        <v>0</v>
      </c>
      <c r="I94" s="69">
        <f t="shared" si="49"/>
        <v>0</v>
      </c>
      <c r="J94" s="69">
        <f t="shared" si="49"/>
        <v>0</v>
      </c>
      <c r="K94" s="69">
        <f t="shared" si="49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</row>
    <row r="95" spans="1:15" ht="15.75" x14ac:dyDescent="0.2">
      <c r="A95" s="138"/>
      <c r="B95" s="138"/>
      <c r="C95" s="101" t="s">
        <v>10</v>
      </c>
      <c r="D95" s="69">
        <f>E95+F95+G95+H95+I95+J95</f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</row>
    <row r="96" spans="1:15" ht="18" customHeight="1" x14ac:dyDescent="0.2">
      <c r="A96" s="138"/>
      <c r="B96" s="138"/>
      <c r="C96" s="101" t="s">
        <v>11</v>
      </c>
      <c r="D96" s="69">
        <f>E96+F96+G96+H96+I96+J96</f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</row>
    <row r="97" spans="1:15" ht="31.5" x14ac:dyDescent="0.2">
      <c r="A97" s="138"/>
      <c r="B97" s="138"/>
      <c r="C97" s="101" t="s">
        <v>65</v>
      </c>
      <c r="D97" s="69">
        <f>E97+F97+G97+H97+I97+J97</f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</row>
    <row r="98" spans="1:15" ht="31.5" customHeight="1" x14ac:dyDescent="0.2">
      <c r="A98" s="138"/>
      <c r="B98" s="138"/>
      <c r="C98" s="74" t="s">
        <v>79</v>
      </c>
      <c r="D98" s="71">
        <f>E98</f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</row>
    <row r="99" spans="1:15" ht="18" customHeight="1" x14ac:dyDescent="0.2">
      <c r="A99" s="138"/>
      <c r="B99" s="138"/>
      <c r="C99" s="101" t="s">
        <v>13</v>
      </c>
      <c r="D99" s="69">
        <f t="shared" ref="D99:D107" si="50">E99+F99+G99+H99+I99+J99</f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</row>
    <row r="100" spans="1:15" ht="15.75" x14ac:dyDescent="0.2">
      <c r="A100" s="138" t="s">
        <v>103</v>
      </c>
      <c r="B100" s="147" t="s">
        <v>234</v>
      </c>
      <c r="C100" s="101" t="s">
        <v>7</v>
      </c>
      <c r="D100" s="69">
        <f t="shared" si="50"/>
        <v>12272.3</v>
      </c>
      <c r="E100" s="69">
        <f t="shared" ref="E100:K100" si="51">E101+E102+E104+E105</f>
        <v>12243.8</v>
      </c>
      <c r="F100" s="69">
        <f t="shared" si="51"/>
        <v>17.5</v>
      </c>
      <c r="G100" s="69">
        <f t="shared" si="51"/>
        <v>11</v>
      </c>
      <c r="H100" s="69">
        <f t="shared" si="51"/>
        <v>0</v>
      </c>
      <c r="I100" s="69">
        <f t="shared" si="51"/>
        <v>0</v>
      </c>
      <c r="J100" s="69">
        <f t="shared" si="51"/>
        <v>0</v>
      </c>
      <c r="K100" s="69">
        <f t="shared" si="51"/>
        <v>0</v>
      </c>
      <c r="L100" s="69">
        <v>0</v>
      </c>
      <c r="M100" s="69">
        <v>0</v>
      </c>
      <c r="N100" s="69">
        <v>0</v>
      </c>
      <c r="O100" s="69">
        <v>0</v>
      </c>
    </row>
    <row r="101" spans="1:15" ht="15.75" x14ac:dyDescent="0.2">
      <c r="A101" s="139"/>
      <c r="B101" s="147"/>
      <c r="C101" s="101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</row>
    <row r="102" spans="1:15" ht="31.5" x14ac:dyDescent="0.2">
      <c r="A102" s="139"/>
      <c r="B102" s="147"/>
      <c r="C102" s="101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</row>
    <row r="103" spans="1:15" ht="31.5" customHeight="1" x14ac:dyDescent="0.2">
      <c r="A103" s="139"/>
      <c r="B103" s="147"/>
      <c r="C103" s="74" t="s">
        <v>81</v>
      </c>
      <c r="D103" s="71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</row>
    <row r="104" spans="1:15" ht="16.5" customHeight="1" x14ac:dyDescent="0.2">
      <c r="A104" s="139"/>
      <c r="B104" s="147"/>
      <c r="C104" s="101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</row>
    <row r="105" spans="1:15" ht="18.75" customHeight="1" x14ac:dyDescent="0.2">
      <c r="A105" s="139"/>
      <c r="B105" s="147"/>
      <c r="C105" s="101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</row>
    <row r="106" spans="1:15" ht="15.75" x14ac:dyDescent="0.2">
      <c r="A106" s="143" t="s">
        <v>104</v>
      </c>
      <c r="B106" s="150" t="s">
        <v>139</v>
      </c>
      <c r="C106" s="101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</row>
    <row r="107" spans="1:15" ht="35.25" customHeight="1" x14ac:dyDescent="0.2">
      <c r="A107" s="144"/>
      <c r="B107" s="151"/>
      <c r="C107" s="74" t="s">
        <v>79</v>
      </c>
      <c r="D107" s="71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</row>
    <row r="108" spans="1:15" ht="15.75" x14ac:dyDescent="0.2">
      <c r="A108" s="157"/>
      <c r="B108" s="151"/>
      <c r="C108" s="101" t="s">
        <v>10</v>
      </c>
      <c r="D108" s="69"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</row>
    <row r="109" spans="1:15" ht="15.75" x14ac:dyDescent="0.2">
      <c r="A109" s="157"/>
      <c r="B109" s="151"/>
      <c r="C109" s="101" t="s">
        <v>11</v>
      </c>
      <c r="D109" s="71">
        <f>E109+F109+G109+H109+I109+J109</f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</row>
    <row r="110" spans="1:15" ht="31.5" x14ac:dyDescent="0.2">
      <c r="A110" s="157"/>
      <c r="B110" s="151"/>
      <c r="C110" s="101" t="s">
        <v>65</v>
      </c>
      <c r="D110" s="69">
        <f>E110+F110+G110+H110+I110+J110</f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</row>
    <row r="111" spans="1:15" ht="31.5" customHeight="1" x14ac:dyDescent="0.2">
      <c r="A111" s="157"/>
      <c r="B111" s="151"/>
      <c r="C111" s="74" t="s">
        <v>79</v>
      </c>
      <c r="D111" s="71">
        <f>E111+F111+G111+H111+I111+J111</f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</row>
    <row r="112" spans="1:15" ht="18" customHeight="1" x14ac:dyDescent="0.2">
      <c r="A112" s="158"/>
      <c r="B112" s="152"/>
      <c r="C112" s="101" t="s">
        <v>13</v>
      </c>
      <c r="D112" s="69"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</row>
    <row r="113" spans="1:15" ht="15.75" x14ac:dyDescent="0.2">
      <c r="A113" s="138" t="s">
        <v>105</v>
      </c>
      <c r="B113" s="143" t="s">
        <v>72</v>
      </c>
      <c r="C113" s="101" t="s">
        <v>7</v>
      </c>
      <c r="D113" s="69">
        <f>E113+F113+G113+H113+I113+J113</f>
        <v>92.2</v>
      </c>
      <c r="E113" s="69">
        <f t="shared" ref="E113:O113" si="52">E114</f>
        <v>92.2</v>
      </c>
      <c r="F113" s="69">
        <f t="shared" si="52"/>
        <v>0</v>
      </c>
      <c r="G113" s="69">
        <f t="shared" si="52"/>
        <v>0</v>
      </c>
      <c r="H113" s="69">
        <f t="shared" si="52"/>
        <v>0</v>
      </c>
      <c r="I113" s="69">
        <f t="shared" si="52"/>
        <v>0</v>
      </c>
      <c r="J113" s="69">
        <f t="shared" si="52"/>
        <v>0</v>
      </c>
      <c r="K113" s="69">
        <f t="shared" si="52"/>
        <v>0</v>
      </c>
      <c r="L113" s="69">
        <f t="shared" si="52"/>
        <v>0</v>
      </c>
      <c r="M113" s="69">
        <f t="shared" si="52"/>
        <v>0</v>
      </c>
      <c r="N113" s="69">
        <f t="shared" si="52"/>
        <v>0</v>
      </c>
      <c r="O113" s="69">
        <f t="shared" si="52"/>
        <v>0</v>
      </c>
    </row>
    <row r="114" spans="1:15" ht="31.5" customHeight="1" x14ac:dyDescent="0.2">
      <c r="A114" s="138"/>
      <c r="B114" s="144"/>
      <c r="C114" s="74" t="s">
        <v>79</v>
      </c>
      <c r="D114" s="71">
        <f>E114+F114+G114+H114+I114+J114</f>
        <v>92.2</v>
      </c>
      <c r="E114" s="71">
        <f t="shared" ref="E114:K114" si="53">E118</f>
        <v>92.2</v>
      </c>
      <c r="F114" s="71">
        <f t="shared" si="53"/>
        <v>0</v>
      </c>
      <c r="G114" s="71">
        <f t="shared" si="53"/>
        <v>0</v>
      </c>
      <c r="H114" s="71">
        <f t="shared" si="53"/>
        <v>0</v>
      </c>
      <c r="I114" s="71">
        <f t="shared" si="53"/>
        <v>0</v>
      </c>
      <c r="J114" s="71">
        <f t="shared" si="53"/>
        <v>0</v>
      </c>
      <c r="K114" s="71">
        <f t="shared" si="53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</row>
    <row r="115" spans="1:15" ht="15.75" x14ac:dyDescent="0.2">
      <c r="A115" s="139"/>
      <c r="B115" s="144"/>
      <c r="C115" s="101" t="s">
        <v>10</v>
      </c>
      <c r="D115" s="69"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</row>
    <row r="116" spans="1:15" ht="15.75" x14ac:dyDescent="0.2">
      <c r="A116" s="139"/>
      <c r="B116" s="144"/>
      <c r="C116" s="101" t="s">
        <v>11</v>
      </c>
      <c r="D116" s="69">
        <f>E116+F116+G116+H116+I116+J116</f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</row>
    <row r="117" spans="1:15" ht="31.5" x14ac:dyDescent="0.2">
      <c r="A117" s="139"/>
      <c r="B117" s="144"/>
      <c r="C117" s="101" t="s">
        <v>65</v>
      </c>
      <c r="D117" s="69">
        <f>E117+F117+G117+H117+I117+J117</f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</row>
    <row r="118" spans="1:15" ht="31.5" customHeight="1" x14ac:dyDescent="0.2">
      <c r="A118" s="139"/>
      <c r="B118" s="144"/>
      <c r="C118" s="74" t="s">
        <v>79</v>
      </c>
      <c r="D118" s="71">
        <f>E118</f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</row>
    <row r="119" spans="1:15" ht="18.75" customHeight="1" x14ac:dyDescent="0.2">
      <c r="A119" s="139"/>
      <c r="B119" s="145"/>
      <c r="C119" s="101" t="s">
        <v>13</v>
      </c>
      <c r="D119" s="69"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</row>
    <row r="120" spans="1:15" ht="15.75" x14ac:dyDescent="0.2">
      <c r="A120" s="138" t="s">
        <v>106</v>
      </c>
      <c r="B120" s="138" t="s">
        <v>77</v>
      </c>
      <c r="C120" s="101" t="s">
        <v>7</v>
      </c>
      <c r="D120" s="69">
        <f>E120+F120+G120+H120+I120+J120</f>
        <v>1186.7</v>
      </c>
      <c r="E120" s="69">
        <f t="shared" ref="E120:O120" si="54">E121</f>
        <v>1186.7</v>
      </c>
      <c r="F120" s="69">
        <f t="shared" si="54"/>
        <v>0</v>
      </c>
      <c r="G120" s="69">
        <f t="shared" si="54"/>
        <v>0</v>
      </c>
      <c r="H120" s="69">
        <f t="shared" si="54"/>
        <v>0</v>
      </c>
      <c r="I120" s="69">
        <f t="shared" si="54"/>
        <v>0</v>
      </c>
      <c r="J120" s="69">
        <f t="shared" si="54"/>
        <v>0</v>
      </c>
      <c r="K120" s="69">
        <f t="shared" si="54"/>
        <v>0</v>
      </c>
      <c r="L120" s="69">
        <f t="shared" si="54"/>
        <v>0</v>
      </c>
      <c r="M120" s="69">
        <f t="shared" si="54"/>
        <v>0</v>
      </c>
      <c r="N120" s="69">
        <f t="shared" si="54"/>
        <v>0</v>
      </c>
      <c r="O120" s="69">
        <f t="shared" si="54"/>
        <v>0</v>
      </c>
    </row>
    <row r="121" spans="1:15" ht="31.5" x14ac:dyDescent="0.2">
      <c r="A121" s="138"/>
      <c r="B121" s="138"/>
      <c r="C121" s="74" t="s">
        <v>79</v>
      </c>
      <c r="D121" s="71">
        <f>E121+F121+G121+H121+I121+J121</f>
        <v>1186.7</v>
      </c>
      <c r="E121" s="71">
        <f t="shared" ref="E121:K121" si="55">E124+E126</f>
        <v>1186.7</v>
      </c>
      <c r="F121" s="71">
        <f t="shared" si="55"/>
        <v>0</v>
      </c>
      <c r="G121" s="71">
        <f t="shared" si="55"/>
        <v>0</v>
      </c>
      <c r="H121" s="71">
        <f t="shared" si="55"/>
        <v>0</v>
      </c>
      <c r="I121" s="71">
        <f t="shared" si="55"/>
        <v>0</v>
      </c>
      <c r="J121" s="71">
        <f t="shared" si="55"/>
        <v>0</v>
      </c>
      <c r="K121" s="71">
        <f t="shared" si="55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</row>
    <row r="122" spans="1:15" ht="15.75" x14ac:dyDescent="0.2">
      <c r="A122" s="139"/>
      <c r="B122" s="138"/>
      <c r="C122" s="101" t="s">
        <v>10</v>
      </c>
      <c r="D122" s="69"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</row>
    <row r="123" spans="1:15" ht="31.5" x14ac:dyDescent="0.2">
      <c r="A123" s="139"/>
      <c r="B123" s="138"/>
      <c r="C123" s="101" t="s">
        <v>69</v>
      </c>
      <c r="D123" s="69">
        <f>E123+F123+G123+H123+I123+J123</f>
        <v>619.70000000000005</v>
      </c>
      <c r="E123" s="69">
        <f t="shared" ref="E123:N123" si="56">E124</f>
        <v>619.70000000000005</v>
      </c>
      <c r="F123" s="69">
        <f t="shared" si="56"/>
        <v>0</v>
      </c>
      <c r="G123" s="69">
        <f t="shared" si="56"/>
        <v>0</v>
      </c>
      <c r="H123" s="69">
        <f t="shared" si="56"/>
        <v>0</v>
      </c>
      <c r="I123" s="69">
        <f t="shared" si="56"/>
        <v>0</v>
      </c>
      <c r="J123" s="69">
        <f t="shared" si="56"/>
        <v>0</v>
      </c>
      <c r="K123" s="69">
        <v>0</v>
      </c>
      <c r="L123" s="69">
        <f t="shared" si="56"/>
        <v>0</v>
      </c>
      <c r="M123" s="69">
        <f t="shared" si="56"/>
        <v>0</v>
      </c>
      <c r="N123" s="69">
        <f t="shared" si="56"/>
        <v>0</v>
      </c>
      <c r="O123" s="69">
        <v>0</v>
      </c>
    </row>
    <row r="124" spans="1:15" ht="31.5" x14ac:dyDescent="0.2">
      <c r="A124" s="139"/>
      <c r="B124" s="138"/>
      <c r="C124" s="74" t="s">
        <v>79</v>
      </c>
      <c r="D124" s="71">
        <f>E124+F124+G124+H124+I124+J124</f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</row>
    <row r="125" spans="1:15" ht="31.5" x14ac:dyDescent="0.2">
      <c r="A125" s="139"/>
      <c r="B125" s="138"/>
      <c r="C125" s="101" t="s">
        <v>65</v>
      </c>
      <c r="D125" s="69">
        <f>E125+F125+G125+H125+I125+J125</f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</row>
    <row r="126" spans="1:15" ht="31.5" x14ac:dyDescent="0.2">
      <c r="A126" s="139"/>
      <c r="B126" s="138"/>
      <c r="C126" s="74" t="s">
        <v>79</v>
      </c>
      <c r="D126" s="71">
        <f>E126</f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</row>
    <row r="127" spans="1:15" ht="18" customHeight="1" x14ac:dyDescent="0.2">
      <c r="A127" s="139"/>
      <c r="B127" s="138"/>
      <c r="C127" s="101" t="s">
        <v>13</v>
      </c>
      <c r="D127" s="69"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</row>
    <row r="128" spans="1:15" ht="15.75" x14ac:dyDescent="0.2">
      <c r="A128" s="143" t="s">
        <v>107</v>
      </c>
      <c r="B128" s="147" t="s">
        <v>140</v>
      </c>
      <c r="C128" s="101" t="s">
        <v>7</v>
      </c>
      <c r="D128" s="69">
        <f>E128+F128+G128+H128+I128+J128</f>
        <v>25000</v>
      </c>
      <c r="E128" s="69">
        <f>E130+E131+E134+E136</f>
        <v>25000</v>
      </c>
      <c r="F128" s="69">
        <f t="shared" ref="F128:K128" si="57">F130+F131+F134+F136</f>
        <v>0</v>
      </c>
      <c r="G128" s="69">
        <f t="shared" si="57"/>
        <v>0</v>
      </c>
      <c r="H128" s="69">
        <f t="shared" si="57"/>
        <v>0</v>
      </c>
      <c r="I128" s="69">
        <f t="shared" si="57"/>
        <v>0</v>
      </c>
      <c r="J128" s="69">
        <f t="shared" si="57"/>
        <v>0</v>
      </c>
      <c r="K128" s="69">
        <f t="shared" si="57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</row>
    <row r="129" spans="1:15" ht="31.5" x14ac:dyDescent="0.2">
      <c r="A129" s="144"/>
      <c r="B129" s="147"/>
      <c r="C129" s="74" t="s">
        <v>79</v>
      </c>
      <c r="D129" s="71">
        <f>E129+F129+G129+H129+I129+J129</f>
        <v>15579.7</v>
      </c>
      <c r="E129" s="71">
        <f>E133+E135</f>
        <v>15579.7</v>
      </c>
      <c r="F129" s="71">
        <f t="shared" ref="F129:K129" si="58">F133+F135</f>
        <v>0</v>
      </c>
      <c r="G129" s="71">
        <f t="shared" si="58"/>
        <v>0</v>
      </c>
      <c r="H129" s="71">
        <f t="shared" si="58"/>
        <v>0</v>
      </c>
      <c r="I129" s="71">
        <f t="shared" si="58"/>
        <v>0</v>
      </c>
      <c r="J129" s="71">
        <f t="shared" si="58"/>
        <v>0</v>
      </c>
      <c r="K129" s="71">
        <f t="shared" si="58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</row>
    <row r="130" spans="1:15" ht="15.75" x14ac:dyDescent="0.2">
      <c r="A130" s="157"/>
      <c r="B130" s="147"/>
      <c r="C130" s="101" t="s">
        <v>10</v>
      </c>
      <c r="D130" s="69"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</row>
    <row r="131" spans="1:15" ht="31.5" x14ac:dyDescent="0.2">
      <c r="A131" s="157"/>
      <c r="B131" s="147"/>
      <c r="C131" s="101" t="s">
        <v>69</v>
      </c>
      <c r="D131" s="69">
        <f>E131+F131+G131+H131+I131+J131</f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</row>
    <row r="132" spans="1:15" ht="31.5" x14ac:dyDescent="0.2">
      <c r="A132" s="157"/>
      <c r="B132" s="147"/>
      <c r="C132" s="74" t="s">
        <v>81</v>
      </c>
      <c r="D132" s="71">
        <f>E132+F132+G132+H132+I132+J132</f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</row>
    <row r="133" spans="1:15" ht="32.25" customHeight="1" x14ac:dyDescent="0.2">
      <c r="A133" s="157"/>
      <c r="B133" s="147"/>
      <c r="C133" s="74" t="s">
        <v>79</v>
      </c>
      <c r="D133" s="71">
        <f>E133+F133+G133+H133+I133+J133</f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</row>
    <row r="134" spans="1:15" ht="31.5" x14ac:dyDescent="0.2">
      <c r="A134" s="157"/>
      <c r="B134" s="147"/>
      <c r="C134" s="101" t="s">
        <v>65</v>
      </c>
      <c r="D134" s="69">
        <f>E134+F134+G134+H134+I134+J134</f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</row>
    <row r="135" spans="1:15" ht="31.5" x14ac:dyDescent="0.2">
      <c r="A135" s="157"/>
      <c r="B135" s="147"/>
      <c r="C135" s="74" t="s">
        <v>79</v>
      </c>
      <c r="D135" s="71">
        <f>E135</f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</row>
    <row r="136" spans="1:15" ht="15.75" x14ac:dyDescent="0.2">
      <c r="A136" s="158"/>
      <c r="B136" s="147"/>
      <c r="C136" s="101" t="s">
        <v>13</v>
      </c>
      <c r="D136" s="69"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</row>
    <row r="137" spans="1:15" ht="15.75" x14ac:dyDescent="0.2">
      <c r="A137" s="138" t="s">
        <v>108</v>
      </c>
      <c r="B137" s="147" t="s">
        <v>74</v>
      </c>
      <c r="C137" s="101" t="s">
        <v>7</v>
      </c>
      <c r="D137" s="69">
        <f>E137+F137+G137+H137+I137+J137</f>
        <v>155</v>
      </c>
      <c r="E137" s="69">
        <f>E139+E140+E141+E143</f>
        <v>155</v>
      </c>
      <c r="F137" s="69">
        <f t="shared" ref="F137:K137" si="59">F139+F140+F141+F143</f>
        <v>0</v>
      </c>
      <c r="G137" s="69">
        <f t="shared" si="59"/>
        <v>0</v>
      </c>
      <c r="H137" s="69">
        <f t="shared" si="59"/>
        <v>0</v>
      </c>
      <c r="I137" s="69">
        <f t="shared" si="59"/>
        <v>0</v>
      </c>
      <c r="J137" s="69">
        <f t="shared" si="59"/>
        <v>0</v>
      </c>
      <c r="K137" s="69">
        <f t="shared" si="59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</row>
    <row r="138" spans="1:15" ht="31.5" x14ac:dyDescent="0.2">
      <c r="A138" s="138"/>
      <c r="B138" s="147"/>
      <c r="C138" s="74" t="s">
        <v>79</v>
      </c>
      <c r="D138" s="71">
        <f>E138+F138+G138+H138+I138+J138</f>
        <v>155</v>
      </c>
      <c r="E138" s="71">
        <f t="shared" ref="E138:K138" si="60">E142</f>
        <v>155</v>
      </c>
      <c r="F138" s="71">
        <f t="shared" si="60"/>
        <v>0</v>
      </c>
      <c r="G138" s="71">
        <f t="shared" si="60"/>
        <v>0</v>
      </c>
      <c r="H138" s="71">
        <f t="shared" si="60"/>
        <v>0</v>
      </c>
      <c r="I138" s="71">
        <f t="shared" si="60"/>
        <v>0</v>
      </c>
      <c r="J138" s="71">
        <f t="shared" si="60"/>
        <v>0</v>
      </c>
      <c r="K138" s="71">
        <f t="shared" si="60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</row>
    <row r="139" spans="1:15" ht="18" customHeight="1" x14ac:dyDescent="0.2">
      <c r="A139" s="139"/>
      <c r="B139" s="147"/>
      <c r="C139" s="101" t="s">
        <v>10</v>
      </c>
      <c r="D139" s="69"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</row>
    <row r="140" spans="1:15" ht="15.75" x14ac:dyDescent="0.2">
      <c r="A140" s="139"/>
      <c r="B140" s="147"/>
      <c r="C140" s="101" t="s">
        <v>11</v>
      </c>
      <c r="D140" s="69">
        <f>E140+F140+G140+H140+I140+J140</f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</row>
    <row r="141" spans="1:15" ht="31.5" x14ac:dyDescent="0.2">
      <c r="A141" s="139"/>
      <c r="B141" s="147"/>
      <c r="C141" s="101" t="s">
        <v>65</v>
      </c>
      <c r="D141" s="69">
        <f>E141+F141+G141+H141+I141+J141</f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</row>
    <row r="142" spans="1:15" ht="32.25" customHeight="1" x14ac:dyDescent="0.2">
      <c r="A142" s="139"/>
      <c r="B142" s="147"/>
      <c r="C142" s="74" t="s">
        <v>79</v>
      </c>
      <c r="D142" s="71">
        <f>E142</f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</row>
    <row r="143" spans="1:15" ht="18" customHeight="1" x14ac:dyDescent="0.2">
      <c r="A143" s="139"/>
      <c r="B143" s="147"/>
      <c r="C143" s="101" t="s">
        <v>13</v>
      </c>
      <c r="D143" s="71">
        <f>E143</f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</row>
    <row r="144" spans="1:15" ht="15.75" x14ac:dyDescent="0.2">
      <c r="A144" s="177" t="s">
        <v>109</v>
      </c>
      <c r="B144" s="185" t="s">
        <v>73</v>
      </c>
      <c r="C144" s="101" t="s">
        <v>7</v>
      </c>
      <c r="D144" s="69">
        <f>E144+F144+G144+H144+I144+J144</f>
        <v>9590.7999999999993</v>
      </c>
      <c r="E144" s="69">
        <f>E146+E147+E149+E151</f>
        <v>9590.7999999999993</v>
      </c>
      <c r="F144" s="69">
        <f t="shared" ref="F144:K144" si="61">F146+F147+F149+F151</f>
        <v>0</v>
      </c>
      <c r="G144" s="69">
        <f t="shared" si="61"/>
        <v>0</v>
      </c>
      <c r="H144" s="69">
        <f t="shared" si="61"/>
        <v>0</v>
      </c>
      <c r="I144" s="69">
        <f t="shared" si="61"/>
        <v>0</v>
      </c>
      <c r="J144" s="69">
        <f t="shared" si="61"/>
        <v>0</v>
      </c>
      <c r="K144" s="69">
        <f t="shared" si="61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</row>
    <row r="145" spans="1:15" ht="31.5" x14ac:dyDescent="0.2">
      <c r="A145" s="177"/>
      <c r="B145" s="185"/>
      <c r="C145" s="74" t="s">
        <v>79</v>
      </c>
      <c r="D145" s="71">
        <f>E145+F145+G145+H145+I145+J145</f>
        <v>9590.7999999999993</v>
      </c>
      <c r="E145" s="71">
        <f t="shared" ref="E145:K145" si="62">E148+E150</f>
        <v>9590.7999999999993</v>
      </c>
      <c r="F145" s="71">
        <f t="shared" si="62"/>
        <v>0</v>
      </c>
      <c r="G145" s="71">
        <f t="shared" si="62"/>
        <v>0</v>
      </c>
      <c r="H145" s="71">
        <f t="shared" si="62"/>
        <v>0</v>
      </c>
      <c r="I145" s="71">
        <f t="shared" si="62"/>
        <v>0</v>
      </c>
      <c r="J145" s="71">
        <f t="shared" si="62"/>
        <v>0</v>
      </c>
      <c r="K145" s="71">
        <f t="shared" si="62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</row>
    <row r="146" spans="1:15" ht="16.5" customHeight="1" x14ac:dyDescent="0.2">
      <c r="A146" s="178"/>
      <c r="B146" s="185"/>
      <c r="C146" s="101" t="s">
        <v>10</v>
      </c>
      <c r="D146" s="69"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</row>
    <row r="147" spans="1:15" ht="30.75" customHeight="1" x14ac:dyDescent="0.2">
      <c r="A147" s="178"/>
      <c r="B147" s="185"/>
      <c r="C147" s="101" t="s">
        <v>69</v>
      </c>
      <c r="D147" s="69">
        <f>E147+F147+G147+H147+I147+J147</f>
        <v>9111.2999999999993</v>
      </c>
      <c r="E147" s="69">
        <f t="shared" ref="E147:N147" si="63">E148</f>
        <v>9111.2999999999993</v>
      </c>
      <c r="F147" s="69">
        <f t="shared" si="63"/>
        <v>0</v>
      </c>
      <c r="G147" s="69">
        <f t="shared" si="63"/>
        <v>0</v>
      </c>
      <c r="H147" s="69">
        <f t="shared" si="63"/>
        <v>0</v>
      </c>
      <c r="I147" s="69">
        <f t="shared" si="63"/>
        <v>0</v>
      </c>
      <c r="J147" s="69">
        <f t="shared" si="63"/>
        <v>0</v>
      </c>
      <c r="K147" s="69">
        <v>0</v>
      </c>
      <c r="L147" s="69">
        <f t="shared" si="63"/>
        <v>0</v>
      </c>
      <c r="M147" s="69">
        <f t="shared" si="63"/>
        <v>0</v>
      </c>
      <c r="N147" s="69">
        <f t="shared" si="63"/>
        <v>0</v>
      </c>
      <c r="O147" s="69">
        <v>0</v>
      </c>
    </row>
    <row r="148" spans="1:15" ht="31.5" x14ac:dyDescent="0.2">
      <c r="A148" s="178"/>
      <c r="B148" s="185"/>
      <c r="C148" s="74" t="s">
        <v>79</v>
      </c>
      <c r="D148" s="71">
        <f>E148+F148+G148+H148+I148+J148</f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</row>
    <row r="149" spans="1:15" ht="31.5" x14ac:dyDescent="0.2">
      <c r="A149" s="178"/>
      <c r="B149" s="185"/>
      <c r="C149" s="101" t="s">
        <v>65</v>
      </c>
      <c r="D149" s="69">
        <f>E149+F149+G149+H149+I149+J149</f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</row>
    <row r="150" spans="1:15" ht="30.75" customHeight="1" x14ac:dyDescent="0.2">
      <c r="A150" s="178"/>
      <c r="B150" s="185"/>
      <c r="C150" s="74" t="s">
        <v>79</v>
      </c>
      <c r="D150" s="71">
        <f>E150</f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</row>
    <row r="151" spans="1:15" ht="15.75" x14ac:dyDescent="0.2">
      <c r="A151" s="178"/>
      <c r="B151" s="185"/>
      <c r="C151" s="101" t="s">
        <v>13</v>
      </c>
      <c r="D151" s="69"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</row>
    <row r="152" spans="1:15" ht="15.75" x14ac:dyDescent="0.2">
      <c r="A152" s="138" t="s">
        <v>110</v>
      </c>
      <c r="B152" s="150" t="s">
        <v>67</v>
      </c>
      <c r="C152" s="101" t="s">
        <v>7</v>
      </c>
      <c r="D152" s="69">
        <f>D153+D154+D155+D157</f>
        <v>1600.3</v>
      </c>
      <c r="E152" s="69">
        <f t="shared" ref="E152:K152" si="64">E153+E154+E155+E157</f>
        <v>1600.3</v>
      </c>
      <c r="F152" s="69">
        <f t="shared" si="64"/>
        <v>0</v>
      </c>
      <c r="G152" s="69">
        <f t="shared" si="64"/>
        <v>0</v>
      </c>
      <c r="H152" s="69">
        <f t="shared" si="64"/>
        <v>0</v>
      </c>
      <c r="I152" s="69">
        <f t="shared" si="64"/>
        <v>0</v>
      </c>
      <c r="J152" s="69">
        <f t="shared" si="64"/>
        <v>0</v>
      </c>
      <c r="K152" s="69">
        <f t="shared" si="64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</row>
    <row r="153" spans="1:15" ht="15.75" x14ac:dyDescent="0.2">
      <c r="A153" s="139"/>
      <c r="B153" s="151"/>
      <c r="C153" s="101" t="s">
        <v>10</v>
      </c>
      <c r="D153" s="69">
        <f>E153+F153+G153+H153+I153+J153</f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</row>
    <row r="154" spans="1:15" ht="15.75" x14ac:dyDescent="0.2">
      <c r="A154" s="139"/>
      <c r="B154" s="151"/>
      <c r="C154" s="101" t="s">
        <v>11</v>
      </c>
      <c r="D154" s="69">
        <f>E154+F154+G154+H154+I154+J154</f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</row>
    <row r="155" spans="1:15" ht="31.5" x14ac:dyDescent="0.2">
      <c r="A155" s="139"/>
      <c r="B155" s="151"/>
      <c r="C155" s="101" t="s">
        <v>65</v>
      </c>
      <c r="D155" s="69">
        <f>E155+F155+G155+H155+I155+J155</f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</row>
    <row r="156" spans="1:15" ht="31.5" x14ac:dyDescent="0.2">
      <c r="A156" s="139"/>
      <c r="B156" s="151"/>
      <c r="C156" s="74" t="s">
        <v>79</v>
      </c>
      <c r="D156" s="71">
        <f>E156</f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</row>
    <row r="157" spans="1:15" ht="21.75" customHeight="1" x14ac:dyDescent="0.2">
      <c r="A157" s="139"/>
      <c r="B157" s="152"/>
      <c r="C157" s="101" t="s">
        <v>13</v>
      </c>
      <c r="D157" s="69">
        <f>E157+F157+G157+H157+I157+J157</f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</row>
    <row r="158" spans="1:15" ht="18" customHeight="1" x14ac:dyDescent="0.2">
      <c r="A158" s="138" t="s">
        <v>111</v>
      </c>
      <c r="B158" s="147" t="s">
        <v>141</v>
      </c>
      <c r="C158" s="101" t="s">
        <v>7</v>
      </c>
      <c r="D158" s="69">
        <f>D159+D160+D162+D163</f>
        <v>3488.1</v>
      </c>
      <c r="E158" s="69">
        <f t="shared" ref="E158:K158" si="65">E159+E160+E162+E163</f>
        <v>3088.1</v>
      </c>
      <c r="F158" s="69">
        <f t="shared" si="65"/>
        <v>0</v>
      </c>
      <c r="G158" s="69">
        <f t="shared" si="65"/>
        <v>0</v>
      </c>
      <c r="H158" s="69">
        <f t="shared" si="65"/>
        <v>400</v>
      </c>
      <c r="I158" s="69">
        <f t="shared" si="65"/>
        <v>0</v>
      </c>
      <c r="J158" s="69">
        <f t="shared" si="65"/>
        <v>0</v>
      </c>
      <c r="K158" s="69">
        <f t="shared" si="65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</row>
    <row r="159" spans="1:15" ht="15.75" x14ac:dyDescent="0.2">
      <c r="A159" s="139"/>
      <c r="B159" s="147"/>
      <c r="C159" s="101" t="s">
        <v>10</v>
      </c>
      <c r="D159" s="69">
        <f>E159+F159+G159+H159+I159+J159</f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</row>
    <row r="160" spans="1:15" ht="30.75" customHeight="1" x14ac:dyDescent="0.2">
      <c r="A160" s="139"/>
      <c r="B160" s="147"/>
      <c r="C160" s="101" t="s">
        <v>69</v>
      </c>
      <c r="D160" s="69">
        <f>D161</f>
        <v>2692</v>
      </c>
      <c r="E160" s="69">
        <f t="shared" ref="E160:M160" si="66">E161</f>
        <v>2692</v>
      </c>
      <c r="F160" s="69">
        <f t="shared" si="66"/>
        <v>0</v>
      </c>
      <c r="G160" s="69">
        <f t="shared" si="66"/>
        <v>0</v>
      </c>
      <c r="H160" s="69">
        <f t="shared" si="66"/>
        <v>0</v>
      </c>
      <c r="I160" s="69">
        <f t="shared" si="66"/>
        <v>0</v>
      </c>
      <c r="J160" s="69">
        <f t="shared" si="66"/>
        <v>0</v>
      </c>
      <c r="K160" s="69">
        <v>0</v>
      </c>
      <c r="L160" s="69">
        <f t="shared" si="66"/>
        <v>0</v>
      </c>
      <c r="M160" s="69">
        <f t="shared" si="66"/>
        <v>0</v>
      </c>
      <c r="N160" s="69">
        <v>0</v>
      </c>
      <c r="O160" s="69">
        <v>0</v>
      </c>
    </row>
    <row r="161" spans="1:18" ht="31.5" x14ac:dyDescent="0.2">
      <c r="A161" s="139"/>
      <c r="B161" s="147"/>
      <c r="C161" s="74" t="s">
        <v>81</v>
      </c>
      <c r="D161" s="71">
        <f>E161+F161+G161+H161+I161+J161</f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</row>
    <row r="162" spans="1:18" ht="15.75" x14ac:dyDescent="0.2">
      <c r="A162" s="139"/>
      <c r="B162" s="147"/>
      <c r="C162" s="101" t="s">
        <v>12</v>
      </c>
      <c r="D162" s="69">
        <f>E162+F162+G162+H162+I162+J162</f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</row>
    <row r="163" spans="1:18" ht="15.75" x14ac:dyDescent="0.2">
      <c r="A163" s="139"/>
      <c r="B163" s="147"/>
      <c r="C163" s="101" t="s">
        <v>13</v>
      </c>
      <c r="D163" s="69">
        <f>E163+F163+G163+H163+I163+J163</f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</row>
    <row r="164" spans="1:18" ht="15.75" x14ac:dyDescent="0.2">
      <c r="A164" s="138" t="s">
        <v>112</v>
      </c>
      <c r="B164" s="150" t="s">
        <v>75</v>
      </c>
      <c r="C164" s="96" t="s">
        <v>7</v>
      </c>
      <c r="D164" s="69">
        <f t="shared" ref="D164:D170" si="67">E164+F164+G164+H164+I164+J164</f>
        <v>123.9</v>
      </c>
      <c r="E164" s="69">
        <f t="shared" ref="E164:O164" si="68">E166+E167+E168+E170</f>
        <v>123.9</v>
      </c>
      <c r="F164" s="69">
        <f t="shared" si="68"/>
        <v>0</v>
      </c>
      <c r="G164" s="69">
        <f t="shared" si="68"/>
        <v>0</v>
      </c>
      <c r="H164" s="69">
        <f t="shared" si="68"/>
        <v>0</v>
      </c>
      <c r="I164" s="69">
        <f t="shared" si="68"/>
        <v>0</v>
      </c>
      <c r="J164" s="69">
        <f t="shared" si="68"/>
        <v>0</v>
      </c>
      <c r="K164" s="69">
        <f t="shared" si="68"/>
        <v>0</v>
      </c>
      <c r="L164" s="69">
        <f t="shared" si="68"/>
        <v>0</v>
      </c>
      <c r="M164" s="69">
        <f t="shared" si="68"/>
        <v>0</v>
      </c>
      <c r="N164" s="69">
        <f t="shared" si="68"/>
        <v>0</v>
      </c>
      <c r="O164" s="69">
        <f t="shared" si="68"/>
        <v>0</v>
      </c>
    </row>
    <row r="165" spans="1:18" ht="31.5" x14ac:dyDescent="0.2">
      <c r="A165" s="138"/>
      <c r="B165" s="151"/>
      <c r="C165" s="72" t="s">
        <v>79</v>
      </c>
      <c r="D165" s="71">
        <f t="shared" si="67"/>
        <v>123.9</v>
      </c>
      <c r="E165" s="71">
        <f t="shared" ref="E165:O165" si="69">E169</f>
        <v>123.9</v>
      </c>
      <c r="F165" s="71">
        <f t="shared" si="69"/>
        <v>0</v>
      </c>
      <c r="G165" s="71">
        <f t="shared" si="69"/>
        <v>0</v>
      </c>
      <c r="H165" s="71">
        <f t="shared" si="69"/>
        <v>0</v>
      </c>
      <c r="I165" s="71">
        <f t="shared" si="69"/>
        <v>0</v>
      </c>
      <c r="J165" s="71">
        <f t="shared" si="69"/>
        <v>0</v>
      </c>
      <c r="K165" s="71">
        <f t="shared" si="69"/>
        <v>0</v>
      </c>
      <c r="L165" s="71">
        <f t="shared" si="69"/>
        <v>0</v>
      </c>
      <c r="M165" s="71">
        <f t="shared" si="69"/>
        <v>0</v>
      </c>
      <c r="N165" s="71">
        <f t="shared" si="69"/>
        <v>0</v>
      </c>
      <c r="O165" s="71">
        <f t="shared" si="69"/>
        <v>0</v>
      </c>
    </row>
    <row r="166" spans="1:18" ht="15.75" x14ac:dyDescent="0.2">
      <c r="A166" s="138"/>
      <c r="B166" s="151"/>
      <c r="C166" s="96" t="s">
        <v>10</v>
      </c>
      <c r="D166" s="69">
        <f t="shared" si="67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</row>
    <row r="167" spans="1:18" ht="15.75" x14ac:dyDescent="0.2">
      <c r="A167" s="138"/>
      <c r="B167" s="151"/>
      <c r="C167" s="96" t="s">
        <v>11</v>
      </c>
      <c r="D167" s="69">
        <f t="shared" si="67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</row>
    <row r="168" spans="1:18" ht="31.5" x14ac:dyDescent="0.2">
      <c r="A168" s="138"/>
      <c r="B168" s="151"/>
      <c r="C168" s="101" t="s">
        <v>65</v>
      </c>
      <c r="D168" s="69">
        <f t="shared" si="67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</row>
    <row r="169" spans="1:18" ht="31.5" x14ac:dyDescent="0.2">
      <c r="A169" s="138"/>
      <c r="B169" s="151"/>
      <c r="C169" s="72" t="s">
        <v>79</v>
      </c>
      <c r="D169" s="71">
        <f t="shared" si="67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</row>
    <row r="170" spans="1:18" ht="38.25" customHeight="1" x14ac:dyDescent="0.2">
      <c r="A170" s="138"/>
      <c r="B170" s="152"/>
      <c r="C170" s="96" t="s">
        <v>13</v>
      </c>
      <c r="D170" s="69">
        <f t="shared" si="67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</row>
    <row r="171" spans="1:18" ht="17.25" customHeight="1" x14ac:dyDescent="0.2">
      <c r="A171" s="138" t="s">
        <v>113</v>
      </c>
      <c r="B171" s="147" t="s">
        <v>78</v>
      </c>
      <c r="C171" s="101" t="s">
        <v>7</v>
      </c>
      <c r="D171" s="69">
        <f t="shared" ref="D171:D177" si="70">E171+F171+G171+H171+I171+J171</f>
        <v>1187</v>
      </c>
      <c r="E171" s="69">
        <f t="shared" ref="E171:K171" si="71">E173+E174+E175+E177</f>
        <v>1187</v>
      </c>
      <c r="F171" s="69">
        <f t="shared" si="71"/>
        <v>0</v>
      </c>
      <c r="G171" s="69">
        <f t="shared" si="71"/>
        <v>0</v>
      </c>
      <c r="H171" s="69">
        <f t="shared" si="71"/>
        <v>0</v>
      </c>
      <c r="I171" s="69">
        <f t="shared" si="71"/>
        <v>0</v>
      </c>
      <c r="J171" s="69">
        <f t="shared" si="71"/>
        <v>0</v>
      </c>
      <c r="K171" s="69">
        <f t="shared" si="71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</row>
    <row r="172" spans="1:18" ht="31.5" x14ac:dyDescent="0.2">
      <c r="A172" s="139"/>
      <c r="B172" s="153"/>
      <c r="C172" s="74" t="s">
        <v>79</v>
      </c>
      <c r="D172" s="71">
        <f t="shared" si="70"/>
        <v>1187</v>
      </c>
      <c r="E172" s="71">
        <f t="shared" ref="E172:K172" si="72">E176</f>
        <v>1187</v>
      </c>
      <c r="F172" s="71">
        <f t="shared" si="72"/>
        <v>0</v>
      </c>
      <c r="G172" s="71">
        <f t="shared" si="72"/>
        <v>0</v>
      </c>
      <c r="H172" s="71">
        <f t="shared" si="72"/>
        <v>0</v>
      </c>
      <c r="I172" s="71">
        <f t="shared" si="72"/>
        <v>0</v>
      </c>
      <c r="J172" s="71">
        <f t="shared" si="72"/>
        <v>0</v>
      </c>
      <c r="K172" s="71">
        <f t="shared" si="72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</row>
    <row r="173" spans="1:18" ht="15.75" x14ac:dyDescent="0.2">
      <c r="A173" s="139"/>
      <c r="B173" s="153"/>
      <c r="C173" s="101" t="s">
        <v>10</v>
      </c>
      <c r="D173" s="69">
        <f t="shared" si="70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</row>
    <row r="174" spans="1:18" ht="15.75" x14ac:dyDescent="0.2">
      <c r="A174" s="139"/>
      <c r="B174" s="153"/>
      <c r="C174" s="101" t="s">
        <v>11</v>
      </c>
      <c r="D174" s="69">
        <f t="shared" si="70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</row>
    <row r="175" spans="1:18" ht="32.25" customHeight="1" x14ac:dyDescent="0.2">
      <c r="A175" s="139"/>
      <c r="B175" s="153"/>
      <c r="C175" s="101" t="s">
        <v>65</v>
      </c>
      <c r="D175" s="69">
        <f t="shared" si="70"/>
        <v>1187</v>
      </c>
      <c r="E175" s="69">
        <f t="shared" ref="E175:O175" si="73">E176</f>
        <v>1187</v>
      </c>
      <c r="F175" s="69">
        <f t="shared" si="73"/>
        <v>0</v>
      </c>
      <c r="G175" s="69">
        <f t="shared" si="73"/>
        <v>0</v>
      </c>
      <c r="H175" s="69">
        <f t="shared" si="73"/>
        <v>0</v>
      </c>
      <c r="I175" s="69">
        <f t="shared" si="73"/>
        <v>0</v>
      </c>
      <c r="J175" s="69">
        <f t="shared" si="73"/>
        <v>0</v>
      </c>
      <c r="K175" s="69">
        <v>0</v>
      </c>
      <c r="L175" s="69">
        <f t="shared" si="73"/>
        <v>0</v>
      </c>
      <c r="M175" s="69">
        <f t="shared" si="73"/>
        <v>0</v>
      </c>
      <c r="N175" s="69">
        <f t="shared" si="73"/>
        <v>0</v>
      </c>
      <c r="O175" s="69">
        <f t="shared" si="73"/>
        <v>0</v>
      </c>
      <c r="P175" s="75"/>
      <c r="Q175" s="75"/>
      <c r="R175" s="64"/>
    </row>
    <row r="176" spans="1:18" ht="32.25" customHeight="1" x14ac:dyDescent="0.2">
      <c r="A176" s="139"/>
      <c r="B176" s="153"/>
      <c r="C176" s="74" t="s">
        <v>79</v>
      </c>
      <c r="D176" s="71">
        <f t="shared" si="70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</row>
    <row r="177" spans="1:18" ht="18" customHeight="1" x14ac:dyDescent="0.2">
      <c r="A177" s="139"/>
      <c r="B177" s="153"/>
      <c r="C177" s="101" t="s">
        <v>13</v>
      </c>
      <c r="D177" s="69">
        <f t="shared" si="70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</row>
    <row r="178" spans="1:18" ht="15.75" x14ac:dyDescent="0.2">
      <c r="A178" s="138" t="s">
        <v>114</v>
      </c>
      <c r="B178" s="138" t="s">
        <v>213</v>
      </c>
      <c r="C178" s="101" t="s">
        <v>7</v>
      </c>
      <c r="D178" s="69">
        <f t="shared" ref="D178:D183" si="74">E178+F178+G178+H178+I178+J178</f>
        <v>3590.6</v>
      </c>
      <c r="E178" s="69">
        <f>E179+E180+E181+E183</f>
        <v>2639.6</v>
      </c>
      <c r="F178" s="69">
        <f t="shared" ref="F178:K178" si="75">F179+F180+F181+F183</f>
        <v>951</v>
      </c>
      <c r="G178" s="69">
        <f t="shared" si="75"/>
        <v>0</v>
      </c>
      <c r="H178" s="69">
        <f t="shared" si="75"/>
        <v>0</v>
      </c>
      <c r="I178" s="69">
        <f t="shared" si="75"/>
        <v>0</v>
      </c>
      <c r="J178" s="69">
        <f t="shared" si="75"/>
        <v>0</v>
      </c>
      <c r="K178" s="69">
        <f t="shared" si="75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</row>
    <row r="179" spans="1:18" ht="15.75" x14ac:dyDescent="0.2">
      <c r="A179" s="139"/>
      <c r="B179" s="138"/>
      <c r="C179" s="101" t="s">
        <v>10</v>
      </c>
      <c r="D179" s="69">
        <f t="shared" si="74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</row>
    <row r="180" spans="1:18" ht="15.75" x14ac:dyDescent="0.2">
      <c r="A180" s="139"/>
      <c r="B180" s="138"/>
      <c r="C180" s="101" t="s">
        <v>11</v>
      </c>
      <c r="D180" s="69">
        <f t="shared" si="74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</row>
    <row r="181" spans="1:18" ht="31.5" x14ac:dyDescent="0.2">
      <c r="A181" s="139"/>
      <c r="B181" s="138"/>
      <c r="C181" s="101" t="s">
        <v>65</v>
      </c>
      <c r="D181" s="69">
        <f t="shared" si="74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</row>
    <row r="182" spans="1:18" ht="31.5" x14ac:dyDescent="0.2">
      <c r="A182" s="139"/>
      <c r="B182" s="138"/>
      <c r="C182" s="74" t="s">
        <v>79</v>
      </c>
      <c r="D182" s="71">
        <f t="shared" si="74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</row>
    <row r="183" spans="1:18" ht="21" customHeight="1" x14ac:dyDescent="0.2">
      <c r="A183" s="139"/>
      <c r="B183" s="138"/>
      <c r="C183" s="101" t="s">
        <v>13</v>
      </c>
      <c r="D183" s="69">
        <f t="shared" si="74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</row>
    <row r="184" spans="1:18" ht="15.75" x14ac:dyDescent="0.2">
      <c r="A184" s="138" t="s">
        <v>115</v>
      </c>
      <c r="B184" s="138" t="s">
        <v>217</v>
      </c>
      <c r="C184" s="101" t="s">
        <v>7</v>
      </c>
      <c r="D184" s="69">
        <f>E184+F184+G184+H184+I184+J184+K184+L184+M184+N184+O184</f>
        <v>2617.1</v>
      </c>
      <c r="E184" s="69">
        <f t="shared" ref="E184:O184" si="76">E185+E186+E187+E188</f>
        <v>0</v>
      </c>
      <c r="F184" s="69">
        <f t="shared" si="76"/>
        <v>0</v>
      </c>
      <c r="G184" s="69">
        <f t="shared" si="76"/>
        <v>332.6</v>
      </c>
      <c r="H184" s="69">
        <f>H185+H186+H187+H188</f>
        <v>984.5</v>
      </c>
      <c r="I184" s="69">
        <f t="shared" si="76"/>
        <v>690</v>
      </c>
      <c r="J184" s="69">
        <f t="shared" si="76"/>
        <v>160</v>
      </c>
      <c r="K184" s="69">
        <f t="shared" si="76"/>
        <v>450</v>
      </c>
      <c r="L184" s="69">
        <f t="shared" si="76"/>
        <v>0</v>
      </c>
      <c r="M184" s="69">
        <f t="shared" si="76"/>
        <v>0</v>
      </c>
      <c r="N184" s="69">
        <f t="shared" si="76"/>
        <v>0</v>
      </c>
      <c r="O184" s="69">
        <f t="shared" si="76"/>
        <v>0</v>
      </c>
    </row>
    <row r="185" spans="1:18" ht="15.75" x14ac:dyDescent="0.2">
      <c r="A185" s="139"/>
      <c r="B185" s="138"/>
      <c r="C185" s="101" t="s">
        <v>10</v>
      </c>
      <c r="D185" s="69">
        <f>E185+F185+G185+H185+I185+J185+K185+L185+M185+N185+O185</f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</row>
    <row r="186" spans="1:18" ht="15.75" x14ac:dyDescent="0.2">
      <c r="A186" s="139"/>
      <c r="B186" s="138"/>
      <c r="C186" s="101" t="s">
        <v>11</v>
      </c>
      <c r="D186" s="69">
        <f>E186+F186+G186+H186+I186+J186+K186+L186+M186+N186+O186</f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</row>
    <row r="187" spans="1:18" ht="15.75" x14ac:dyDescent="0.2">
      <c r="A187" s="139"/>
      <c r="B187" s="138"/>
      <c r="C187" s="101" t="s">
        <v>12</v>
      </c>
      <c r="D187" s="69">
        <f>E187+F187+G187+H187+I187+J187+K187+L187+M187+N187+O187</f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</row>
    <row r="188" spans="1:18" ht="43.5" customHeight="1" x14ac:dyDescent="0.2">
      <c r="A188" s="139"/>
      <c r="B188" s="138"/>
      <c r="C188" s="101" t="s">
        <v>13</v>
      </c>
      <c r="D188" s="69">
        <f>E188+F188+G188+H188+I188+J188+K188+L188+M188+N188+O188</f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</row>
    <row r="189" spans="1:18" ht="15.75" x14ac:dyDescent="0.2">
      <c r="A189" s="138" t="s">
        <v>116</v>
      </c>
      <c r="B189" s="138" t="s">
        <v>224</v>
      </c>
      <c r="C189" s="101" t="s">
        <v>7</v>
      </c>
      <c r="D189" s="69">
        <f t="shared" ref="D189:D198" si="77">E189+F189+G189+H189+I189+J189</f>
        <v>3968.3</v>
      </c>
      <c r="E189" s="69">
        <f t="shared" ref="E189:J189" si="78">E190+E191+E192+E193</f>
        <v>0</v>
      </c>
      <c r="F189" s="69">
        <f t="shared" si="78"/>
        <v>0</v>
      </c>
      <c r="G189" s="69">
        <f t="shared" si="78"/>
        <v>0</v>
      </c>
      <c r="H189" s="69">
        <f t="shared" si="78"/>
        <v>3968.3</v>
      </c>
      <c r="I189" s="69">
        <f t="shared" si="78"/>
        <v>0</v>
      </c>
      <c r="J189" s="69">
        <f t="shared" si="78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0</v>
      </c>
      <c r="O189" s="69">
        <f>O190+O191+O192+O193</f>
        <v>0</v>
      </c>
    </row>
    <row r="190" spans="1:18" ht="15.75" x14ac:dyDescent="0.2">
      <c r="A190" s="139"/>
      <c r="B190" s="138"/>
      <c r="C190" s="101" t="s">
        <v>10</v>
      </c>
      <c r="D190" s="69">
        <f t="shared" si="77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</row>
    <row r="191" spans="1:18" ht="15.75" x14ac:dyDescent="0.2">
      <c r="A191" s="139"/>
      <c r="B191" s="138"/>
      <c r="C191" s="101" t="s">
        <v>11</v>
      </c>
      <c r="D191" s="69">
        <f t="shared" si="77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</row>
    <row r="192" spans="1:18" ht="15.75" x14ac:dyDescent="0.2">
      <c r="A192" s="139"/>
      <c r="B192" s="138"/>
      <c r="C192" s="101" t="s">
        <v>12</v>
      </c>
      <c r="D192" s="69">
        <f t="shared" si="77"/>
        <v>3968.3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</row>
    <row r="193" spans="1:25" ht="44.25" customHeight="1" x14ac:dyDescent="0.2">
      <c r="A193" s="139"/>
      <c r="B193" s="138"/>
      <c r="C193" s="101" t="s">
        <v>13</v>
      </c>
      <c r="D193" s="69">
        <f t="shared" si="77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</row>
    <row r="194" spans="1:25" ht="15.75" x14ac:dyDescent="0.2">
      <c r="A194" s="138" t="s">
        <v>117</v>
      </c>
      <c r="B194" s="138" t="s">
        <v>225</v>
      </c>
      <c r="C194" s="101" t="s">
        <v>7</v>
      </c>
      <c r="D194" s="69">
        <f t="shared" si="77"/>
        <v>15790</v>
      </c>
      <c r="E194" s="69">
        <f t="shared" ref="E194:K194" si="79">E195+E196+E197+E198</f>
        <v>0</v>
      </c>
      <c r="F194" s="69">
        <f t="shared" si="79"/>
        <v>15790</v>
      </c>
      <c r="G194" s="69">
        <f t="shared" si="79"/>
        <v>0</v>
      </c>
      <c r="H194" s="69">
        <f t="shared" si="79"/>
        <v>0</v>
      </c>
      <c r="I194" s="69">
        <f t="shared" si="79"/>
        <v>0</v>
      </c>
      <c r="J194" s="69">
        <f t="shared" si="79"/>
        <v>0</v>
      </c>
      <c r="K194" s="69">
        <f t="shared" si="79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</row>
    <row r="195" spans="1:25" ht="18" customHeight="1" x14ac:dyDescent="0.2">
      <c r="A195" s="139"/>
      <c r="B195" s="138"/>
      <c r="C195" s="96" t="s">
        <v>10</v>
      </c>
      <c r="D195" s="69">
        <f t="shared" si="77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</row>
    <row r="196" spans="1:25" ht="18" customHeight="1" x14ac:dyDescent="0.2">
      <c r="A196" s="139"/>
      <c r="B196" s="138"/>
      <c r="C196" s="96" t="s">
        <v>11</v>
      </c>
      <c r="D196" s="69">
        <f t="shared" si="77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</row>
    <row r="197" spans="1:25" ht="15.75" x14ac:dyDescent="0.2">
      <c r="A197" s="139"/>
      <c r="B197" s="138"/>
      <c r="C197" s="96" t="s">
        <v>12</v>
      </c>
      <c r="D197" s="69">
        <f t="shared" si="77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</row>
    <row r="198" spans="1:25" ht="36.75" customHeight="1" x14ac:dyDescent="0.2">
      <c r="A198" s="139"/>
      <c r="B198" s="138"/>
      <c r="C198" s="96" t="s">
        <v>13</v>
      </c>
      <c r="D198" s="69">
        <f t="shared" si="77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</row>
    <row r="199" spans="1:25" ht="15.75" x14ac:dyDescent="0.2">
      <c r="A199" s="138" t="s">
        <v>118</v>
      </c>
      <c r="B199" s="138" t="s">
        <v>378</v>
      </c>
      <c r="C199" s="101" t="s">
        <v>7</v>
      </c>
      <c r="D199" s="69">
        <f>E199+F199+G199+H199+I199+J199+J199+K199+L199+M199+N199+O199</f>
        <v>3063809.8000000003</v>
      </c>
      <c r="E199" s="69">
        <f t="shared" ref="E199:M199" si="80">E200+E201+E203+E205</f>
        <v>0</v>
      </c>
      <c r="F199" s="69">
        <f t="shared" si="80"/>
        <v>0</v>
      </c>
      <c r="G199" s="69">
        <f t="shared" si="80"/>
        <v>27664</v>
      </c>
      <c r="H199" s="69">
        <f t="shared" si="80"/>
        <v>50456.399999999994</v>
      </c>
      <c r="I199" s="69">
        <f t="shared" si="80"/>
        <v>17092.099999999999</v>
      </c>
      <c r="J199" s="69">
        <f t="shared" si="80"/>
        <v>373247.1</v>
      </c>
      <c r="K199" s="69">
        <f t="shared" si="80"/>
        <v>886803.5</v>
      </c>
      <c r="L199" s="69">
        <f t="shared" si="80"/>
        <v>611320</v>
      </c>
      <c r="M199" s="69">
        <f t="shared" si="80"/>
        <v>197476.6</v>
      </c>
      <c r="N199" s="69">
        <f>N200+N201+N203+N205</f>
        <v>154162.6</v>
      </c>
      <c r="O199" s="69">
        <f>O200+O201+O203+O205</f>
        <v>372340.4</v>
      </c>
      <c r="P199" s="58"/>
      <c r="Q199" s="67"/>
      <c r="R199" s="77"/>
      <c r="T199" s="78"/>
      <c r="X199" s="63"/>
      <c r="Y199" s="63"/>
    </row>
    <row r="200" spans="1:25" ht="15.75" x14ac:dyDescent="0.2">
      <c r="A200" s="139"/>
      <c r="B200" s="138"/>
      <c r="C200" s="96" t="s">
        <v>10</v>
      </c>
      <c r="D200" s="69">
        <f t="shared" ref="D200:D205" si="81">E200+F200+G200+H200+I200+J200+K200+L200+M200+N200+O200</f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</row>
    <row r="201" spans="1:25" ht="31.5" x14ac:dyDescent="0.2">
      <c r="A201" s="139"/>
      <c r="B201" s="138"/>
      <c r="C201" s="96" t="s">
        <v>69</v>
      </c>
      <c r="D201" s="69">
        <f t="shared" si="81"/>
        <v>2515090.4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221840-81525</f>
        <v>140315</v>
      </c>
      <c r="O201" s="69">
        <v>350000</v>
      </c>
      <c r="P201" s="79"/>
      <c r="Q201" s="64"/>
    </row>
    <row r="202" spans="1:25" ht="31.5" x14ac:dyDescent="0.2">
      <c r="A202" s="139"/>
      <c r="B202" s="138"/>
      <c r="C202" s="72" t="s">
        <v>81</v>
      </c>
      <c r="D202" s="71">
        <f t="shared" si="81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</row>
    <row r="203" spans="1:25" ht="31.5" x14ac:dyDescent="0.2">
      <c r="A203" s="139"/>
      <c r="B203" s="138"/>
      <c r="C203" s="96" t="s">
        <v>65</v>
      </c>
      <c r="D203" s="69">
        <f t="shared" si="81"/>
        <v>175472.3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</f>
        <v>15106.699999999999</v>
      </c>
      <c r="N203" s="69">
        <f>14160-3319.2-288.7-1595.8+3295.5+1595.8</f>
        <v>13847.599999999999</v>
      </c>
      <c r="O203" s="69">
        <f>22340.4</f>
        <v>22340.400000000001</v>
      </c>
      <c r="P203" s="79"/>
      <c r="Q203" s="64"/>
      <c r="W203" s="60"/>
      <c r="X203" s="60"/>
    </row>
    <row r="204" spans="1:25" ht="31.5" x14ac:dyDescent="0.2">
      <c r="A204" s="139"/>
      <c r="B204" s="138"/>
      <c r="C204" s="72" t="s">
        <v>448</v>
      </c>
      <c r="D204" s="71">
        <f t="shared" si="81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</row>
    <row r="205" spans="1:25" ht="28.5" customHeight="1" x14ac:dyDescent="0.2">
      <c r="A205" s="139"/>
      <c r="B205" s="138"/>
      <c r="C205" s="96" t="s">
        <v>13</v>
      </c>
      <c r="D205" s="69">
        <f t="shared" si="81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</row>
    <row r="206" spans="1:25" ht="15.75" x14ac:dyDescent="0.2">
      <c r="A206" s="138" t="s">
        <v>212</v>
      </c>
      <c r="B206" s="138" t="s">
        <v>298</v>
      </c>
      <c r="C206" s="101" t="s">
        <v>7</v>
      </c>
      <c r="D206" s="69">
        <f>D207+D208+D209+D210</f>
        <v>18555.600000000002</v>
      </c>
      <c r="E206" s="69">
        <f t="shared" ref="E206:K206" si="82">E207+E208+E209+E210</f>
        <v>0</v>
      </c>
      <c r="F206" s="69">
        <f t="shared" si="82"/>
        <v>0</v>
      </c>
      <c r="G206" s="69">
        <f t="shared" si="82"/>
        <v>0</v>
      </c>
      <c r="H206" s="69">
        <f t="shared" si="82"/>
        <v>0</v>
      </c>
      <c r="I206" s="69">
        <f t="shared" si="82"/>
        <v>1845.8</v>
      </c>
      <c r="J206" s="69">
        <f t="shared" si="82"/>
        <v>4535.2</v>
      </c>
      <c r="K206" s="69">
        <f t="shared" si="82"/>
        <v>599.90000000000146</v>
      </c>
      <c r="L206" s="69">
        <f>L207+L208+L209+L210</f>
        <v>4131.6000000000004</v>
      </c>
      <c r="M206" s="69">
        <f>M207+M208+M209+M210</f>
        <v>7443.1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</row>
    <row r="207" spans="1:25" ht="15.75" x14ac:dyDescent="0.2">
      <c r="A207" s="139"/>
      <c r="B207" s="139"/>
      <c r="C207" s="101" t="s">
        <v>10</v>
      </c>
      <c r="D207" s="69">
        <f t="shared" ref="D207:D238" si="83">E207+F207+G207+H207+I207+J207+K207+L207+M207+N207+O207</f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</row>
    <row r="208" spans="1:25" ht="15.75" x14ac:dyDescent="0.2">
      <c r="A208" s="139"/>
      <c r="B208" s="139"/>
      <c r="C208" s="101" t="s">
        <v>11</v>
      </c>
      <c r="D208" s="69">
        <f t="shared" si="83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</row>
    <row r="209" spans="1:16" ht="15.75" x14ac:dyDescent="0.2">
      <c r="A209" s="139"/>
      <c r="B209" s="139"/>
      <c r="C209" s="101" t="s">
        <v>12</v>
      </c>
      <c r="D209" s="69">
        <f t="shared" si="83"/>
        <v>18555.600000000002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</f>
        <v>7443.1</v>
      </c>
      <c r="N209" s="69">
        <v>0</v>
      </c>
      <c r="O209" s="69">
        <v>0</v>
      </c>
    </row>
    <row r="210" spans="1:16" ht="24" customHeight="1" x14ac:dyDescent="0.2">
      <c r="A210" s="139"/>
      <c r="B210" s="139"/>
      <c r="C210" s="101" t="s">
        <v>13</v>
      </c>
      <c r="D210" s="69">
        <f t="shared" si="83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</row>
    <row r="211" spans="1:16" ht="15.75" x14ac:dyDescent="0.2">
      <c r="A211" s="138" t="s">
        <v>252</v>
      </c>
      <c r="B211" s="138" t="s">
        <v>256</v>
      </c>
      <c r="C211" s="101" t="s">
        <v>7</v>
      </c>
      <c r="D211" s="69">
        <f t="shared" si="83"/>
        <v>379.3</v>
      </c>
      <c r="E211" s="69">
        <f t="shared" ref="E211:J211" si="84">E212+E213+E214+E215</f>
        <v>0</v>
      </c>
      <c r="F211" s="69">
        <f t="shared" si="84"/>
        <v>0</v>
      </c>
      <c r="G211" s="69">
        <f t="shared" si="84"/>
        <v>0</v>
      </c>
      <c r="H211" s="69">
        <f t="shared" si="84"/>
        <v>0</v>
      </c>
      <c r="I211" s="69">
        <f t="shared" si="84"/>
        <v>10.3</v>
      </c>
      <c r="J211" s="69">
        <f t="shared" si="84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</row>
    <row r="212" spans="1:16" ht="15.75" x14ac:dyDescent="0.2">
      <c r="A212" s="139"/>
      <c r="B212" s="139"/>
      <c r="C212" s="101" t="s">
        <v>10</v>
      </c>
      <c r="D212" s="69">
        <f t="shared" si="83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</row>
    <row r="213" spans="1:16" ht="15.75" x14ac:dyDescent="0.2">
      <c r="A213" s="139"/>
      <c r="B213" s="139"/>
      <c r="C213" s="101" t="s">
        <v>11</v>
      </c>
      <c r="D213" s="69">
        <f t="shared" si="83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</row>
    <row r="214" spans="1:16" ht="15.75" x14ac:dyDescent="0.2">
      <c r="A214" s="139"/>
      <c r="B214" s="139"/>
      <c r="C214" s="101" t="s">
        <v>12</v>
      </c>
      <c r="D214" s="69">
        <f t="shared" si="83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</row>
    <row r="215" spans="1:16" ht="36.75" customHeight="1" x14ac:dyDescent="0.2">
      <c r="A215" s="139"/>
      <c r="B215" s="139"/>
      <c r="C215" s="96" t="s">
        <v>13</v>
      </c>
      <c r="D215" s="69">
        <f t="shared" si="83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</row>
    <row r="216" spans="1:16" ht="15.75" x14ac:dyDescent="0.2">
      <c r="A216" s="138" t="s">
        <v>253</v>
      </c>
      <c r="B216" s="138" t="s">
        <v>292</v>
      </c>
      <c r="C216" s="101" t="s">
        <v>7</v>
      </c>
      <c r="D216" s="69">
        <f t="shared" si="83"/>
        <v>5482.5</v>
      </c>
      <c r="E216" s="69">
        <f t="shared" ref="E216:J216" si="85">E217+E218+E219+E220</f>
        <v>0</v>
      </c>
      <c r="F216" s="69">
        <f t="shared" si="85"/>
        <v>0</v>
      </c>
      <c r="G216" s="69">
        <f t="shared" si="85"/>
        <v>0</v>
      </c>
      <c r="H216" s="69">
        <f t="shared" si="85"/>
        <v>0</v>
      </c>
      <c r="I216" s="69">
        <f t="shared" si="85"/>
        <v>0</v>
      </c>
      <c r="J216" s="69">
        <f t="shared" si="85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</row>
    <row r="217" spans="1:16" ht="15.75" x14ac:dyDescent="0.2">
      <c r="A217" s="139"/>
      <c r="B217" s="139"/>
      <c r="C217" s="101" t="s">
        <v>10</v>
      </c>
      <c r="D217" s="69">
        <f t="shared" si="83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</row>
    <row r="218" spans="1:16" ht="15.75" x14ac:dyDescent="0.2">
      <c r="A218" s="139"/>
      <c r="B218" s="139"/>
      <c r="C218" s="101" t="s">
        <v>11</v>
      </c>
      <c r="D218" s="69">
        <f t="shared" si="83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</row>
    <row r="219" spans="1:16" ht="15.75" x14ac:dyDescent="0.2">
      <c r="A219" s="139"/>
      <c r="B219" s="139"/>
      <c r="C219" s="101" t="s">
        <v>12</v>
      </c>
      <c r="D219" s="69">
        <f t="shared" si="83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</row>
    <row r="220" spans="1:16" ht="32.25" customHeight="1" x14ac:dyDescent="0.2">
      <c r="A220" s="139"/>
      <c r="B220" s="139"/>
      <c r="C220" s="96" t="s">
        <v>13</v>
      </c>
      <c r="D220" s="69">
        <f t="shared" si="83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</row>
    <row r="221" spans="1:16" ht="15.75" x14ac:dyDescent="0.2">
      <c r="A221" s="138" t="s">
        <v>254</v>
      </c>
      <c r="B221" s="138" t="s">
        <v>412</v>
      </c>
      <c r="C221" s="101" t="s">
        <v>7</v>
      </c>
      <c r="D221" s="69">
        <f t="shared" si="83"/>
        <v>241</v>
      </c>
      <c r="E221" s="69">
        <f t="shared" ref="E221:J221" si="86">E222+E223+E224+E225</f>
        <v>0</v>
      </c>
      <c r="F221" s="69">
        <f t="shared" si="86"/>
        <v>0</v>
      </c>
      <c r="G221" s="69">
        <f t="shared" si="86"/>
        <v>0</v>
      </c>
      <c r="H221" s="69">
        <f t="shared" si="86"/>
        <v>0</v>
      </c>
      <c r="I221" s="69">
        <f t="shared" si="86"/>
        <v>0</v>
      </c>
      <c r="J221" s="69">
        <f t="shared" si="86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</row>
    <row r="222" spans="1:16" ht="15.75" x14ac:dyDescent="0.2">
      <c r="A222" s="139"/>
      <c r="B222" s="139"/>
      <c r="C222" s="101" t="s">
        <v>10</v>
      </c>
      <c r="D222" s="69">
        <f t="shared" si="83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</row>
    <row r="223" spans="1:16" ht="15.75" x14ac:dyDescent="0.2">
      <c r="A223" s="139"/>
      <c r="B223" s="139"/>
      <c r="C223" s="101" t="s">
        <v>11</v>
      </c>
      <c r="D223" s="69">
        <f t="shared" si="83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</row>
    <row r="224" spans="1:16" ht="15.75" x14ac:dyDescent="0.2">
      <c r="A224" s="139"/>
      <c r="B224" s="139"/>
      <c r="C224" s="101" t="s">
        <v>12</v>
      </c>
      <c r="D224" s="69">
        <f t="shared" si="83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</row>
    <row r="225" spans="1:15" ht="17.25" customHeight="1" x14ac:dyDescent="0.2">
      <c r="A225" s="139"/>
      <c r="B225" s="139"/>
      <c r="C225" s="101" t="s">
        <v>13</v>
      </c>
      <c r="D225" s="69">
        <f t="shared" si="83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</row>
    <row r="226" spans="1:15" ht="15.75" x14ac:dyDescent="0.2">
      <c r="A226" s="138" t="s">
        <v>255</v>
      </c>
      <c r="B226" s="138" t="s">
        <v>257</v>
      </c>
      <c r="C226" s="101" t="s">
        <v>7</v>
      </c>
      <c r="D226" s="69">
        <f t="shared" si="83"/>
        <v>159.99999999999997</v>
      </c>
      <c r="E226" s="69">
        <f t="shared" ref="E226:J226" si="87">E227+E228+E229+E230</f>
        <v>0</v>
      </c>
      <c r="F226" s="69">
        <f t="shared" si="87"/>
        <v>0</v>
      </c>
      <c r="G226" s="69">
        <f t="shared" si="87"/>
        <v>0</v>
      </c>
      <c r="H226" s="69">
        <f t="shared" si="87"/>
        <v>0</v>
      </c>
      <c r="I226" s="69">
        <f t="shared" si="87"/>
        <v>160</v>
      </c>
      <c r="J226" s="69">
        <f t="shared" si="87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</row>
    <row r="227" spans="1:15" ht="15.75" x14ac:dyDescent="0.2">
      <c r="A227" s="139"/>
      <c r="B227" s="139"/>
      <c r="C227" s="101" t="s">
        <v>10</v>
      </c>
      <c r="D227" s="69">
        <f t="shared" si="83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</row>
    <row r="228" spans="1:15" ht="15.75" x14ac:dyDescent="0.2">
      <c r="A228" s="139"/>
      <c r="B228" s="139"/>
      <c r="C228" s="101" t="s">
        <v>11</v>
      </c>
      <c r="D228" s="69">
        <f t="shared" si="83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</row>
    <row r="229" spans="1:15" ht="15.75" x14ac:dyDescent="0.2">
      <c r="A229" s="139"/>
      <c r="B229" s="139"/>
      <c r="C229" s="101" t="s">
        <v>12</v>
      </c>
      <c r="D229" s="69">
        <f t="shared" si="83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</row>
    <row r="230" spans="1:15" ht="27.75" customHeight="1" x14ac:dyDescent="0.2">
      <c r="A230" s="139"/>
      <c r="B230" s="139"/>
      <c r="C230" s="96" t="s">
        <v>13</v>
      </c>
      <c r="D230" s="69">
        <f t="shared" si="83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</row>
    <row r="231" spans="1:15" ht="15.75" x14ac:dyDescent="0.2">
      <c r="A231" s="138" t="s">
        <v>271</v>
      </c>
      <c r="B231" s="143" t="s">
        <v>272</v>
      </c>
      <c r="C231" s="101" t="s">
        <v>7</v>
      </c>
      <c r="D231" s="69">
        <f t="shared" si="83"/>
        <v>1402.5</v>
      </c>
      <c r="E231" s="69">
        <f t="shared" ref="E231:J231" si="88">E232+E233+E234+E235</f>
        <v>0</v>
      </c>
      <c r="F231" s="69">
        <f t="shared" si="88"/>
        <v>0</v>
      </c>
      <c r="G231" s="69">
        <f t="shared" si="88"/>
        <v>0</v>
      </c>
      <c r="H231" s="69">
        <f t="shared" si="88"/>
        <v>0</v>
      </c>
      <c r="I231" s="69">
        <f t="shared" si="88"/>
        <v>1402.5</v>
      </c>
      <c r="J231" s="69">
        <f t="shared" si="88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</row>
    <row r="232" spans="1:15" ht="15.75" x14ac:dyDescent="0.2">
      <c r="A232" s="139"/>
      <c r="B232" s="157"/>
      <c r="C232" s="101" t="s">
        <v>10</v>
      </c>
      <c r="D232" s="69">
        <f t="shared" si="83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</row>
    <row r="233" spans="1:15" ht="15.75" x14ac:dyDescent="0.2">
      <c r="A233" s="139"/>
      <c r="B233" s="157"/>
      <c r="C233" s="101" t="s">
        <v>11</v>
      </c>
      <c r="D233" s="69">
        <f t="shared" si="83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</row>
    <row r="234" spans="1:15" ht="15.75" x14ac:dyDescent="0.2">
      <c r="A234" s="139"/>
      <c r="B234" s="157"/>
      <c r="C234" s="101" t="s">
        <v>12</v>
      </c>
      <c r="D234" s="69">
        <f t="shared" si="83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</row>
    <row r="235" spans="1:15" ht="21.75" customHeight="1" x14ac:dyDescent="0.2">
      <c r="A235" s="139"/>
      <c r="B235" s="158"/>
      <c r="C235" s="96" t="s">
        <v>13</v>
      </c>
      <c r="D235" s="69">
        <f t="shared" si="83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</row>
    <row r="236" spans="1:15" ht="15.75" x14ac:dyDescent="0.2">
      <c r="A236" s="138" t="s">
        <v>279</v>
      </c>
      <c r="B236" s="143" t="s">
        <v>280</v>
      </c>
      <c r="C236" s="101" t="s">
        <v>7</v>
      </c>
      <c r="D236" s="69">
        <f t="shared" si="83"/>
        <v>4280.7</v>
      </c>
      <c r="E236" s="69">
        <f t="shared" ref="E236:J236" si="89">E237+E238+E239+E240</f>
        <v>0</v>
      </c>
      <c r="F236" s="69">
        <f t="shared" si="89"/>
        <v>0</v>
      </c>
      <c r="G236" s="69">
        <f t="shared" si="89"/>
        <v>0</v>
      </c>
      <c r="H236" s="69">
        <f t="shared" si="89"/>
        <v>0</v>
      </c>
      <c r="I236" s="69">
        <f t="shared" si="89"/>
        <v>4280.7</v>
      </c>
      <c r="J236" s="69">
        <f t="shared" si="89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</row>
    <row r="237" spans="1:15" ht="15.75" x14ac:dyDescent="0.2">
      <c r="A237" s="139"/>
      <c r="B237" s="157"/>
      <c r="C237" s="101" t="s">
        <v>10</v>
      </c>
      <c r="D237" s="69">
        <f t="shared" si="83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</row>
    <row r="238" spans="1:15" ht="15.75" x14ac:dyDescent="0.2">
      <c r="A238" s="139"/>
      <c r="B238" s="157"/>
      <c r="C238" s="101" t="s">
        <v>11</v>
      </c>
      <c r="D238" s="69">
        <f t="shared" si="83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</row>
    <row r="239" spans="1:15" ht="15.75" x14ac:dyDescent="0.2">
      <c r="A239" s="139"/>
      <c r="B239" s="157"/>
      <c r="C239" s="101" t="s">
        <v>12</v>
      </c>
      <c r="D239" s="69">
        <f t="shared" ref="D239:D270" si="90">E239+F239+G239+H239+I239+J239+K239+L239+M239+N239+O239</f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</row>
    <row r="240" spans="1:15" ht="23.25" customHeight="1" x14ac:dyDescent="0.2">
      <c r="A240" s="139"/>
      <c r="B240" s="158"/>
      <c r="C240" s="101" t="s">
        <v>13</v>
      </c>
      <c r="D240" s="69">
        <f t="shared" si="90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</row>
    <row r="241" spans="1:24" ht="15.75" x14ac:dyDescent="0.2">
      <c r="A241" s="138" t="s">
        <v>293</v>
      </c>
      <c r="B241" s="143" t="s">
        <v>367</v>
      </c>
      <c r="C241" s="101" t="s">
        <v>43</v>
      </c>
      <c r="D241" s="69">
        <f t="shared" si="90"/>
        <v>307198.09999999998</v>
      </c>
      <c r="E241" s="69">
        <f t="shared" ref="E241:J241" si="91">E242+E243+E244+E245</f>
        <v>0</v>
      </c>
      <c r="F241" s="69">
        <f t="shared" si="91"/>
        <v>0</v>
      </c>
      <c r="G241" s="69">
        <f t="shared" si="91"/>
        <v>0</v>
      </c>
      <c r="H241" s="69">
        <f t="shared" si="91"/>
        <v>0</v>
      </c>
      <c r="I241" s="69">
        <f t="shared" si="91"/>
        <v>0</v>
      </c>
      <c r="J241" s="69">
        <f t="shared" si="91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X241" s="60"/>
    </row>
    <row r="242" spans="1:24" ht="15.75" x14ac:dyDescent="0.2">
      <c r="A242" s="139"/>
      <c r="B242" s="157"/>
      <c r="C242" s="101" t="s">
        <v>10</v>
      </c>
      <c r="D242" s="69">
        <f t="shared" si="90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</row>
    <row r="243" spans="1:24" ht="15.75" x14ac:dyDescent="0.2">
      <c r="A243" s="139"/>
      <c r="B243" s="157"/>
      <c r="C243" s="101" t="s">
        <v>11</v>
      </c>
      <c r="D243" s="69">
        <f t="shared" si="90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92">151446-151446</f>
        <v>0</v>
      </c>
      <c r="N243" s="69">
        <f t="shared" si="92"/>
        <v>0</v>
      </c>
      <c r="O243" s="69">
        <v>0</v>
      </c>
    </row>
    <row r="244" spans="1:24" ht="15.75" x14ac:dyDescent="0.2">
      <c r="A244" s="139"/>
      <c r="B244" s="157"/>
      <c r="C244" s="101" t="s">
        <v>12</v>
      </c>
      <c r="D244" s="69">
        <f t="shared" si="90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</row>
    <row r="245" spans="1:24" ht="24" customHeight="1" x14ac:dyDescent="0.2">
      <c r="A245" s="139"/>
      <c r="B245" s="158"/>
      <c r="C245" s="96" t="s">
        <v>13</v>
      </c>
      <c r="D245" s="69">
        <f t="shared" si="90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</row>
    <row r="246" spans="1:24" ht="15.75" x14ac:dyDescent="0.2">
      <c r="A246" s="138" t="s">
        <v>299</v>
      </c>
      <c r="B246" s="138" t="s">
        <v>305</v>
      </c>
      <c r="C246" s="101" t="s">
        <v>7</v>
      </c>
      <c r="D246" s="69">
        <f t="shared" si="90"/>
        <v>1528</v>
      </c>
      <c r="E246" s="69">
        <f t="shared" ref="E246:J246" si="93">E247+E248+E249+E250</f>
        <v>0</v>
      </c>
      <c r="F246" s="69">
        <f t="shared" si="93"/>
        <v>0</v>
      </c>
      <c r="G246" s="69">
        <f t="shared" si="93"/>
        <v>0</v>
      </c>
      <c r="H246" s="69">
        <f t="shared" si="93"/>
        <v>0</v>
      </c>
      <c r="I246" s="69">
        <f t="shared" si="93"/>
        <v>1528</v>
      </c>
      <c r="J246" s="69">
        <f t="shared" si="93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</row>
    <row r="247" spans="1:24" ht="15.75" x14ac:dyDescent="0.2">
      <c r="A247" s="139"/>
      <c r="B247" s="139"/>
      <c r="C247" s="101" t="s">
        <v>10</v>
      </c>
      <c r="D247" s="69">
        <f t="shared" si="90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</row>
    <row r="248" spans="1:24" ht="15.75" x14ac:dyDescent="0.2">
      <c r="A248" s="139"/>
      <c r="B248" s="139"/>
      <c r="C248" s="101" t="s">
        <v>11</v>
      </c>
      <c r="D248" s="69">
        <f t="shared" si="90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</row>
    <row r="249" spans="1:24" ht="15.75" x14ac:dyDescent="0.2">
      <c r="A249" s="139"/>
      <c r="B249" s="139"/>
      <c r="C249" s="101" t="s">
        <v>12</v>
      </c>
      <c r="D249" s="69">
        <f t="shared" si="90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</row>
    <row r="250" spans="1:24" ht="24.75" customHeight="1" x14ac:dyDescent="0.2">
      <c r="A250" s="139"/>
      <c r="B250" s="139"/>
      <c r="C250" s="96" t="s">
        <v>13</v>
      </c>
      <c r="D250" s="69">
        <f t="shared" si="90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</row>
    <row r="251" spans="1:24" ht="42" customHeight="1" x14ac:dyDescent="0.2">
      <c r="A251" s="138" t="s">
        <v>301</v>
      </c>
      <c r="B251" s="138" t="s">
        <v>372</v>
      </c>
      <c r="C251" s="101" t="s">
        <v>7</v>
      </c>
      <c r="D251" s="69">
        <f t="shared" si="90"/>
        <v>50891.799999999996</v>
      </c>
      <c r="E251" s="69">
        <f t="shared" ref="E251:J251" si="94">E252+E253+E254+E255</f>
        <v>0</v>
      </c>
      <c r="F251" s="69">
        <f t="shared" si="94"/>
        <v>0</v>
      </c>
      <c r="G251" s="69">
        <f t="shared" si="94"/>
        <v>0</v>
      </c>
      <c r="H251" s="69">
        <f t="shared" si="94"/>
        <v>0</v>
      </c>
      <c r="I251" s="69">
        <f t="shared" si="94"/>
        <v>0</v>
      </c>
      <c r="J251" s="69">
        <f t="shared" si="94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</row>
    <row r="252" spans="1:24" ht="19.5" customHeight="1" x14ac:dyDescent="0.2">
      <c r="A252" s="139"/>
      <c r="B252" s="139"/>
      <c r="C252" s="101" t="s">
        <v>10</v>
      </c>
      <c r="D252" s="69">
        <f t="shared" si="90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</row>
    <row r="253" spans="1:24" ht="15.75" x14ac:dyDescent="0.2">
      <c r="A253" s="139"/>
      <c r="B253" s="139"/>
      <c r="C253" s="101" t="s">
        <v>11</v>
      </c>
      <c r="D253" s="69">
        <f t="shared" si="90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</row>
    <row r="254" spans="1:24" ht="15.75" x14ac:dyDescent="0.2">
      <c r="A254" s="139"/>
      <c r="B254" s="139"/>
      <c r="C254" s="101" t="s">
        <v>12</v>
      </c>
      <c r="D254" s="69">
        <f t="shared" si="90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</row>
    <row r="255" spans="1:24" ht="29.25" customHeight="1" x14ac:dyDescent="0.2">
      <c r="A255" s="139"/>
      <c r="B255" s="139"/>
      <c r="C255" s="96" t="s">
        <v>13</v>
      </c>
      <c r="D255" s="69">
        <f t="shared" si="90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</row>
    <row r="256" spans="1:24" ht="15.75" hidden="1" x14ac:dyDescent="0.2">
      <c r="A256" s="138"/>
      <c r="B256" s="143" t="s">
        <v>320</v>
      </c>
      <c r="C256" s="101" t="s">
        <v>7</v>
      </c>
      <c r="D256" s="69">
        <f t="shared" si="90"/>
        <v>0</v>
      </c>
      <c r="E256" s="69">
        <f t="shared" ref="E256:J256" si="95">E257+E258+E259+E260</f>
        <v>0</v>
      </c>
      <c r="F256" s="69">
        <f t="shared" si="95"/>
        <v>0</v>
      </c>
      <c r="G256" s="69">
        <f t="shared" si="95"/>
        <v>0</v>
      </c>
      <c r="H256" s="69">
        <f t="shared" si="95"/>
        <v>0</v>
      </c>
      <c r="I256" s="69">
        <f t="shared" si="95"/>
        <v>0</v>
      </c>
      <c r="J256" s="69">
        <f t="shared" si="95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</row>
    <row r="257" spans="1:15" ht="15.75" hidden="1" x14ac:dyDescent="0.2">
      <c r="A257" s="139"/>
      <c r="B257" s="157"/>
      <c r="C257" s="101" t="s">
        <v>10</v>
      </c>
      <c r="D257" s="69">
        <f t="shared" si="90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</row>
    <row r="258" spans="1:15" ht="15.75" hidden="1" x14ac:dyDescent="0.2">
      <c r="A258" s="139"/>
      <c r="B258" s="157"/>
      <c r="C258" s="101" t="s">
        <v>11</v>
      </c>
      <c r="D258" s="69">
        <f t="shared" si="90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</row>
    <row r="259" spans="1:15" ht="15.75" hidden="1" x14ac:dyDescent="0.2">
      <c r="A259" s="139"/>
      <c r="B259" s="157"/>
      <c r="C259" s="101" t="s">
        <v>12</v>
      </c>
      <c r="D259" s="69">
        <f t="shared" si="90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</row>
    <row r="260" spans="1:15" ht="21.75" hidden="1" customHeight="1" x14ac:dyDescent="0.2">
      <c r="A260" s="139"/>
      <c r="B260" s="158"/>
      <c r="C260" s="96" t="s">
        <v>13</v>
      </c>
      <c r="D260" s="69">
        <f t="shared" si="90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</row>
    <row r="261" spans="1:15" ht="15.75" x14ac:dyDescent="0.2">
      <c r="A261" s="138" t="s">
        <v>304</v>
      </c>
      <c r="B261" s="143" t="s">
        <v>323</v>
      </c>
      <c r="C261" s="96" t="s">
        <v>7</v>
      </c>
      <c r="D261" s="69">
        <f t="shared" si="90"/>
        <v>1919</v>
      </c>
      <c r="E261" s="69">
        <f t="shared" ref="E261:J261" si="96">E262+E263+E264+E265</f>
        <v>0</v>
      </c>
      <c r="F261" s="69">
        <f t="shared" si="96"/>
        <v>0</v>
      </c>
      <c r="G261" s="69">
        <f t="shared" si="96"/>
        <v>0</v>
      </c>
      <c r="H261" s="69">
        <f t="shared" si="96"/>
        <v>0</v>
      </c>
      <c r="I261" s="69">
        <f t="shared" si="96"/>
        <v>0</v>
      </c>
      <c r="J261" s="69">
        <f t="shared" si="96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</row>
    <row r="262" spans="1:15" ht="15.75" x14ac:dyDescent="0.2">
      <c r="A262" s="139"/>
      <c r="B262" s="157"/>
      <c r="C262" s="96" t="s">
        <v>10</v>
      </c>
      <c r="D262" s="69">
        <f t="shared" si="90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</row>
    <row r="263" spans="1:15" ht="15.75" x14ac:dyDescent="0.2">
      <c r="A263" s="139"/>
      <c r="B263" s="157"/>
      <c r="C263" s="96" t="s">
        <v>11</v>
      </c>
      <c r="D263" s="69">
        <f t="shared" si="90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</row>
    <row r="264" spans="1:15" ht="15.75" x14ac:dyDescent="0.2">
      <c r="A264" s="139"/>
      <c r="B264" s="157"/>
      <c r="C264" s="96" t="s">
        <v>12</v>
      </c>
      <c r="D264" s="69">
        <f t="shared" si="90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</row>
    <row r="265" spans="1:15" ht="35.25" customHeight="1" x14ac:dyDescent="0.2">
      <c r="A265" s="139"/>
      <c r="B265" s="158"/>
      <c r="C265" s="96" t="s">
        <v>13</v>
      </c>
      <c r="D265" s="69">
        <f t="shared" si="90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</row>
    <row r="266" spans="1:15" ht="15.75" x14ac:dyDescent="0.2">
      <c r="A266" s="138" t="s">
        <v>319</v>
      </c>
      <c r="B266" s="143" t="s">
        <v>324</v>
      </c>
      <c r="C266" s="96" t="s">
        <v>7</v>
      </c>
      <c r="D266" s="69">
        <f t="shared" si="90"/>
        <v>15546.3</v>
      </c>
      <c r="E266" s="69">
        <f t="shared" ref="E266:J266" si="97">E267+E268+E269+E270</f>
        <v>0</v>
      </c>
      <c r="F266" s="69">
        <f t="shared" si="97"/>
        <v>0</v>
      </c>
      <c r="G266" s="69">
        <f t="shared" si="97"/>
        <v>0</v>
      </c>
      <c r="H266" s="69">
        <f t="shared" si="97"/>
        <v>0</v>
      </c>
      <c r="I266" s="69">
        <f t="shared" si="97"/>
        <v>0</v>
      </c>
      <c r="J266" s="69">
        <f t="shared" si="97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</row>
    <row r="267" spans="1:15" ht="16.5" customHeight="1" x14ac:dyDescent="0.2">
      <c r="A267" s="139"/>
      <c r="B267" s="157"/>
      <c r="C267" s="101" t="s">
        <v>10</v>
      </c>
      <c r="D267" s="69">
        <f t="shared" si="90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</row>
    <row r="268" spans="1:15" ht="16.5" customHeight="1" x14ac:dyDescent="0.2">
      <c r="A268" s="139"/>
      <c r="B268" s="157"/>
      <c r="C268" s="101" t="s">
        <v>11</v>
      </c>
      <c r="D268" s="69">
        <f t="shared" si="90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</row>
    <row r="269" spans="1:15" ht="16.5" customHeight="1" x14ac:dyDescent="0.2">
      <c r="A269" s="139"/>
      <c r="B269" s="157"/>
      <c r="C269" s="101" t="s">
        <v>12</v>
      </c>
      <c r="D269" s="69">
        <f t="shared" si="90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</row>
    <row r="270" spans="1:15" ht="27.75" customHeight="1" x14ac:dyDescent="0.2">
      <c r="A270" s="139"/>
      <c r="B270" s="158"/>
      <c r="C270" s="96" t="s">
        <v>13</v>
      </c>
      <c r="D270" s="69">
        <f t="shared" si="90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</row>
    <row r="271" spans="1:15" ht="15.75" x14ac:dyDescent="0.2">
      <c r="A271" s="138" t="s">
        <v>321</v>
      </c>
      <c r="B271" s="138" t="s">
        <v>339</v>
      </c>
      <c r="C271" s="96" t="s">
        <v>7</v>
      </c>
      <c r="D271" s="69">
        <f t="shared" ref="D271:D280" si="98">E271+F271+G271+H271+I271+J271+K271+L271+M271+N271+O271</f>
        <v>9202</v>
      </c>
      <c r="E271" s="69">
        <f t="shared" ref="E271:J271" si="99">E272+E273+E274+E275</f>
        <v>0</v>
      </c>
      <c r="F271" s="69">
        <f t="shared" si="99"/>
        <v>0</v>
      </c>
      <c r="G271" s="69">
        <f t="shared" si="99"/>
        <v>0</v>
      </c>
      <c r="H271" s="69">
        <f t="shared" si="99"/>
        <v>0</v>
      </c>
      <c r="I271" s="69">
        <f t="shared" si="99"/>
        <v>0</v>
      </c>
      <c r="J271" s="69">
        <f t="shared" si="99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</row>
    <row r="272" spans="1:15" ht="16.5" customHeight="1" x14ac:dyDescent="0.2">
      <c r="A272" s="139"/>
      <c r="B272" s="139"/>
      <c r="C272" s="101" t="s">
        <v>10</v>
      </c>
      <c r="D272" s="69">
        <f t="shared" si="98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</row>
    <row r="273" spans="1:24" ht="16.5" customHeight="1" x14ac:dyDescent="0.2">
      <c r="A273" s="139"/>
      <c r="B273" s="139"/>
      <c r="C273" s="101" t="s">
        <v>11</v>
      </c>
      <c r="D273" s="69">
        <f t="shared" si="98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</row>
    <row r="274" spans="1:24" ht="16.5" customHeight="1" x14ac:dyDescent="0.2">
      <c r="A274" s="139"/>
      <c r="B274" s="139"/>
      <c r="C274" s="101" t="s">
        <v>12</v>
      </c>
      <c r="D274" s="69">
        <f t="shared" si="98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</row>
    <row r="275" spans="1:24" ht="36" customHeight="1" x14ac:dyDescent="0.2">
      <c r="A275" s="139"/>
      <c r="B275" s="139"/>
      <c r="C275" s="96" t="s">
        <v>13</v>
      </c>
      <c r="D275" s="69">
        <f t="shared" si="98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</row>
    <row r="276" spans="1:24" ht="41.25" customHeight="1" x14ac:dyDescent="0.2">
      <c r="A276" s="138" t="s">
        <v>322</v>
      </c>
      <c r="B276" s="138" t="s">
        <v>373</v>
      </c>
      <c r="C276" s="96" t="s">
        <v>7</v>
      </c>
      <c r="D276" s="69">
        <f t="shared" si="98"/>
        <v>8744.6</v>
      </c>
      <c r="E276" s="69">
        <f t="shared" ref="E276:J276" si="100">E277+E278+E279+E280</f>
        <v>0</v>
      </c>
      <c r="F276" s="69">
        <f t="shared" si="100"/>
        <v>0</v>
      </c>
      <c r="G276" s="69">
        <f t="shared" si="100"/>
        <v>0</v>
      </c>
      <c r="H276" s="69">
        <f>H277+H278+H279+H280</f>
        <v>0</v>
      </c>
      <c r="I276" s="69">
        <f t="shared" si="100"/>
        <v>0</v>
      </c>
      <c r="J276" s="69">
        <f t="shared" si="100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</row>
    <row r="277" spans="1:24" ht="16.5" customHeight="1" x14ac:dyDescent="0.2">
      <c r="A277" s="139"/>
      <c r="B277" s="139"/>
      <c r="C277" s="101" t="s">
        <v>10</v>
      </c>
      <c r="D277" s="69">
        <f t="shared" si="98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</row>
    <row r="278" spans="1:24" ht="16.5" customHeight="1" x14ac:dyDescent="0.2">
      <c r="A278" s="139"/>
      <c r="B278" s="139"/>
      <c r="C278" s="101" t="s">
        <v>11</v>
      </c>
      <c r="D278" s="69">
        <f t="shared" si="98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</row>
    <row r="279" spans="1:24" ht="16.5" customHeight="1" x14ac:dyDescent="0.2">
      <c r="A279" s="139"/>
      <c r="B279" s="139"/>
      <c r="C279" s="101" t="s">
        <v>12</v>
      </c>
      <c r="D279" s="69">
        <f t="shared" si="98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</row>
    <row r="280" spans="1:24" ht="16.5" customHeight="1" x14ac:dyDescent="0.2">
      <c r="A280" s="139"/>
      <c r="B280" s="139"/>
      <c r="C280" s="96" t="s">
        <v>13</v>
      </c>
      <c r="D280" s="69">
        <f t="shared" si="98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</row>
    <row r="281" spans="1:24" ht="42" hidden="1" customHeight="1" x14ac:dyDescent="0.2">
      <c r="A281" s="138" t="s">
        <v>424</v>
      </c>
      <c r="B281" s="138" t="s">
        <v>377</v>
      </c>
      <c r="C281" s="96" t="s">
        <v>7</v>
      </c>
      <c r="D281" s="69">
        <f t="shared" ref="D281:D302" si="101">E281+F281+G281+H281+I281+J281+K281+L281+M281+N281+O281</f>
        <v>0</v>
      </c>
      <c r="E281" s="69">
        <f t="shared" ref="E281:O281" si="102">E282+E283+E284+E285</f>
        <v>0</v>
      </c>
      <c r="F281" s="69">
        <f t="shared" si="102"/>
        <v>0</v>
      </c>
      <c r="G281" s="69">
        <f t="shared" si="102"/>
        <v>0</v>
      </c>
      <c r="H281" s="69">
        <f t="shared" si="102"/>
        <v>0</v>
      </c>
      <c r="I281" s="69">
        <f t="shared" si="102"/>
        <v>0</v>
      </c>
      <c r="J281" s="69">
        <f t="shared" si="102"/>
        <v>0</v>
      </c>
      <c r="K281" s="69">
        <f t="shared" si="102"/>
        <v>0</v>
      </c>
      <c r="L281" s="69">
        <f t="shared" si="102"/>
        <v>0</v>
      </c>
      <c r="M281" s="69">
        <f t="shared" si="102"/>
        <v>0</v>
      </c>
      <c r="N281" s="69">
        <f t="shared" si="102"/>
        <v>0</v>
      </c>
      <c r="O281" s="69">
        <f t="shared" si="102"/>
        <v>0</v>
      </c>
    </row>
    <row r="282" spans="1:24" ht="16.5" hidden="1" customHeight="1" x14ac:dyDescent="0.2">
      <c r="A282" s="139"/>
      <c r="B282" s="139"/>
      <c r="C282" s="101" t="s">
        <v>10</v>
      </c>
      <c r="D282" s="69">
        <f t="shared" si="101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</row>
    <row r="283" spans="1:24" ht="16.5" hidden="1" customHeight="1" x14ac:dyDescent="0.2">
      <c r="A283" s="139"/>
      <c r="B283" s="139"/>
      <c r="C283" s="101" t="s">
        <v>11</v>
      </c>
      <c r="D283" s="69">
        <f t="shared" si="101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X283" s="62" t="s">
        <v>423</v>
      </c>
    </row>
    <row r="284" spans="1:24" ht="16.5" hidden="1" customHeight="1" x14ac:dyDescent="0.2">
      <c r="A284" s="139"/>
      <c r="B284" s="139"/>
      <c r="C284" s="101" t="s">
        <v>12</v>
      </c>
      <c r="D284" s="69">
        <f t="shared" si="101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</row>
    <row r="285" spans="1:24" ht="23.25" hidden="1" customHeight="1" x14ac:dyDescent="0.2">
      <c r="A285" s="139"/>
      <c r="B285" s="139"/>
      <c r="C285" s="96" t="s">
        <v>13</v>
      </c>
      <c r="D285" s="69">
        <f t="shared" si="101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</row>
    <row r="286" spans="1:24" ht="15.75" x14ac:dyDescent="0.2">
      <c r="A286" s="138" t="s">
        <v>336</v>
      </c>
      <c r="B286" s="138" t="s">
        <v>366</v>
      </c>
      <c r="C286" s="96" t="s">
        <v>7</v>
      </c>
      <c r="D286" s="69">
        <f t="shared" si="101"/>
        <v>589.1</v>
      </c>
      <c r="E286" s="69">
        <f t="shared" ref="E286:O286" si="103">E287+E288+E289+E290</f>
        <v>0</v>
      </c>
      <c r="F286" s="69">
        <f t="shared" si="103"/>
        <v>0</v>
      </c>
      <c r="G286" s="69">
        <f t="shared" si="103"/>
        <v>0</v>
      </c>
      <c r="H286" s="69">
        <f t="shared" si="103"/>
        <v>0</v>
      </c>
      <c r="I286" s="69">
        <f t="shared" si="103"/>
        <v>0</v>
      </c>
      <c r="J286" s="69">
        <f t="shared" si="103"/>
        <v>0</v>
      </c>
      <c r="K286" s="69">
        <f t="shared" si="103"/>
        <v>589.1</v>
      </c>
      <c r="L286" s="69">
        <f t="shared" si="103"/>
        <v>0</v>
      </c>
      <c r="M286" s="69">
        <f t="shared" si="103"/>
        <v>0</v>
      </c>
      <c r="N286" s="69">
        <f t="shared" si="103"/>
        <v>0</v>
      </c>
      <c r="O286" s="69">
        <f t="shared" si="103"/>
        <v>0</v>
      </c>
    </row>
    <row r="287" spans="1:24" ht="16.5" customHeight="1" x14ac:dyDescent="0.2">
      <c r="A287" s="139"/>
      <c r="B287" s="139"/>
      <c r="C287" s="101" t="s">
        <v>10</v>
      </c>
      <c r="D287" s="69">
        <f t="shared" si="101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</row>
    <row r="288" spans="1:24" ht="16.5" customHeight="1" x14ac:dyDescent="0.2">
      <c r="A288" s="139"/>
      <c r="B288" s="139"/>
      <c r="C288" s="101" t="s">
        <v>11</v>
      </c>
      <c r="D288" s="69">
        <f t="shared" si="101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</row>
    <row r="289" spans="1:24" ht="16.5" customHeight="1" x14ac:dyDescent="0.2">
      <c r="A289" s="139"/>
      <c r="B289" s="139"/>
      <c r="C289" s="101" t="s">
        <v>12</v>
      </c>
      <c r="D289" s="69">
        <f t="shared" si="101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</row>
    <row r="290" spans="1:24" ht="24" customHeight="1" x14ac:dyDescent="0.2">
      <c r="A290" s="139"/>
      <c r="B290" s="139"/>
      <c r="C290" s="96" t="s">
        <v>13</v>
      </c>
      <c r="D290" s="69">
        <f t="shared" si="101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</row>
    <row r="291" spans="1:24" ht="15.75" hidden="1" x14ac:dyDescent="0.2">
      <c r="A291" s="138"/>
      <c r="B291" s="138" t="s">
        <v>387</v>
      </c>
      <c r="C291" s="96" t="s">
        <v>7</v>
      </c>
      <c r="D291" s="69">
        <f t="shared" si="101"/>
        <v>0</v>
      </c>
      <c r="E291" s="69">
        <f t="shared" ref="E291:O292" si="104">E292+E293+E294+E295</f>
        <v>0</v>
      </c>
      <c r="F291" s="69">
        <f t="shared" si="104"/>
        <v>0</v>
      </c>
      <c r="G291" s="69">
        <f t="shared" si="104"/>
        <v>0</v>
      </c>
      <c r="H291" s="69">
        <f t="shared" si="104"/>
        <v>0</v>
      </c>
      <c r="I291" s="69">
        <f t="shared" si="104"/>
        <v>0</v>
      </c>
      <c r="J291" s="69">
        <f t="shared" si="104"/>
        <v>0</v>
      </c>
      <c r="K291" s="69">
        <f t="shared" si="104"/>
        <v>0</v>
      </c>
      <c r="L291" s="69">
        <f t="shared" si="104"/>
        <v>0</v>
      </c>
      <c r="M291" s="69">
        <f t="shared" si="104"/>
        <v>0</v>
      </c>
      <c r="N291" s="69">
        <f t="shared" si="104"/>
        <v>0</v>
      </c>
      <c r="O291" s="69">
        <f t="shared" si="104"/>
        <v>0</v>
      </c>
    </row>
    <row r="292" spans="1:24" ht="16.5" hidden="1" customHeight="1" x14ac:dyDescent="0.2">
      <c r="A292" s="139"/>
      <c r="B292" s="139"/>
      <c r="C292" s="101" t="s">
        <v>10</v>
      </c>
      <c r="D292" s="69">
        <f t="shared" si="101"/>
        <v>0</v>
      </c>
      <c r="E292" s="69">
        <f t="shared" si="104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</row>
    <row r="293" spans="1:24" ht="16.5" hidden="1" customHeight="1" x14ac:dyDescent="0.2">
      <c r="A293" s="139"/>
      <c r="B293" s="139"/>
      <c r="C293" s="101" t="s">
        <v>11</v>
      </c>
      <c r="D293" s="69">
        <f t="shared" si="101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</row>
    <row r="294" spans="1:24" ht="16.5" hidden="1" customHeight="1" x14ac:dyDescent="0.2">
      <c r="A294" s="139"/>
      <c r="B294" s="139"/>
      <c r="C294" s="101" t="s">
        <v>12</v>
      </c>
      <c r="D294" s="69">
        <f t="shared" si="101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</row>
    <row r="295" spans="1:24" ht="21.75" hidden="1" customHeight="1" x14ac:dyDescent="0.2">
      <c r="A295" s="139"/>
      <c r="B295" s="139"/>
      <c r="C295" s="96" t="s">
        <v>13</v>
      </c>
      <c r="D295" s="69">
        <f t="shared" si="101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</row>
    <row r="296" spans="1:24" ht="15.75" hidden="1" x14ac:dyDescent="0.2">
      <c r="A296" s="138"/>
      <c r="B296" s="138" t="s">
        <v>300</v>
      </c>
      <c r="C296" s="96" t="s">
        <v>7</v>
      </c>
      <c r="D296" s="69">
        <f t="shared" si="101"/>
        <v>0</v>
      </c>
      <c r="E296" s="69">
        <f t="shared" ref="E296:O296" si="105">E297+E298+E299+E300</f>
        <v>0</v>
      </c>
      <c r="F296" s="69">
        <f t="shared" si="105"/>
        <v>0</v>
      </c>
      <c r="G296" s="69">
        <f t="shared" si="105"/>
        <v>0</v>
      </c>
      <c r="H296" s="69">
        <f t="shared" si="105"/>
        <v>0</v>
      </c>
      <c r="I296" s="69">
        <f t="shared" si="105"/>
        <v>0</v>
      </c>
      <c r="J296" s="69">
        <f t="shared" si="105"/>
        <v>0</v>
      </c>
      <c r="K296" s="69">
        <f t="shared" si="105"/>
        <v>0</v>
      </c>
      <c r="L296" s="69">
        <f t="shared" si="105"/>
        <v>0</v>
      </c>
      <c r="M296" s="69">
        <f t="shared" si="105"/>
        <v>0</v>
      </c>
      <c r="N296" s="69">
        <f t="shared" si="105"/>
        <v>0</v>
      </c>
      <c r="O296" s="69">
        <f t="shared" si="105"/>
        <v>0</v>
      </c>
    </row>
    <row r="297" spans="1:24" ht="16.5" hidden="1" customHeight="1" x14ac:dyDescent="0.2">
      <c r="A297" s="139"/>
      <c r="B297" s="139"/>
      <c r="C297" s="101" t="s">
        <v>10</v>
      </c>
      <c r="D297" s="69">
        <f t="shared" si="101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</row>
    <row r="298" spans="1:24" ht="16.5" hidden="1" customHeight="1" x14ac:dyDescent="0.2">
      <c r="A298" s="139"/>
      <c r="B298" s="139"/>
      <c r="C298" s="101" t="s">
        <v>11</v>
      </c>
      <c r="D298" s="69">
        <f t="shared" si="101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</row>
    <row r="299" spans="1:24" ht="16.5" hidden="1" customHeight="1" x14ac:dyDescent="0.2">
      <c r="A299" s="139"/>
      <c r="B299" s="139"/>
      <c r="C299" s="101" t="s">
        <v>12</v>
      </c>
      <c r="D299" s="69">
        <f t="shared" si="101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</row>
    <row r="300" spans="1:24" ht="24" hidden="1" customHeight="1" x14ac:dyDescent="0.2">
      <c r="A300" s="139"/>
      <c r="B300" s="139"/>
      <c r="C300" s="96" t="s">
        <v>13</v>
      </c>
      <c r="D300" s="69">
        <f t="shared" si="101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</row>
    <row r="301" spans="1:24" s="80" customFormat="1" ht="24.75" customHeight="1" x14ac:dyDescent="0.2">
      <c r="A301" s="143" t="s">
        <v>338</v>
      </c>
      <c r="B301" s="143" t="s">
        <v>374</v>
      </c>
      <c r="C301" s="96" t="s">
        <v>7</v>
      </c>
      <c r="D301" s="69">
        <f t="shared" si="101"/>
        <v>75259.7</v>
      </c>
      <c r="E301" s="69">
        <f>E302+E303+E304+E305</f>
        <v>0</v>
      </c>
      <c r="F301" s="69">
        <f t="shared" ref="F301:O301" si="106">F302+F303+F304+F305</f>
        <v>0</v>
      </c>
      <c r="G301" s="69">
        <f t="shared" si="106"/>
        <v>0</v>
      </c>
      <c r="H301" s="69">
        <f t="shared" si="106"/>
        <v>0</v>
      </c>
      <c r="I301" s="69">
        <f t="shared" si="106"/>
        <v>0</v>
      </c>
      <c r="J301" s="69">
        <f t="shared" si="106"/>
        <v>0</v>
      </c>
      <c r="K301" s="69">
        <f t="shared" si="106"/>
        <v>75259.7</v>
      </c>
      <c r="L301" s="69">
        <f t="shared" si="106"/>
        <v>0</v>
      </c>
      <c r="M301" s="69">
        <f t="shared" si="106"/>
        <v>0</v>
      </c>
      <c r="N301" s="69">
        <f t="shared" si="106"/>
        <v>0</v>
      </c>
      <c r="O301" s="69">
        <f t="shared" si="106"/>
        <v>0</v>
      </c>
    </row>
    <row r="302" spans="1:24" s="80" customFormat="1" ht="24.75" customHeight="1" x14ac:dyDescent="0.2">
      <c r="A302" s="144"/>
      <c r="B302" s="144"/>
      <c r="C302" s="101" t="s">
        <v>10</v>
      </c>
      <c r="D302" s="69">
        <f t="shared" si="101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</row>
    <row r="303" spans="1:24" s="80" customFormat="1" ht="24.75" customHeight="1" x14ac:dyDescent="0.2">
      <c r="A303" s="144"/>
      <c r="B303" s="144"/>
      <c r="C303" s="101" t="s">
        <v>11</v>
      </c>
      <c r="D303" s="69">
        <f>E303+F303+G303+H303+I303+J303+K303+L303+M303+N303+O303</f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07">44738.1-44738.1</f>
        <v>0</v>
      </c>
      <c r="N303" s="69">
        <f t="shared" si="107"/>
        <v>0</v>
      </c>
      <c r="O303" s="69">
        <v>0</v>
      </c>
      <c r="X303" s="81"/>
    </row>
    <row r="304" spans="1:24" s="80" customFormat="1" ht="24.75" customHeight="1" x14ac:dyDescent="0.2">
      <c r="A304" s="144"/>
      <c r="B304" s="144"/>
      <c r="C304" s="101" t="s">
        <v>12</v>
      </c>
      <c r="D304" s="69">
        <f t="shared" ref="D304:D310" si="108">E304+F304+G304+H304+I304+J304+K304+L304+M304+N304+O304</f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</row>
    <row r="305" spans="1:15" s="80" customFormat="1" ht="24.75" customHeight="1" x14ac:dyDescent="0.2">
      <c r="A305" s="145"/>
      <c r="B305" s="145"/>
      <c r="C305" s="96" t="s">
        <v>13</v>
      </c>
      <c r="D305" s="69">
        <f t="shared" si="108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</row>
    <row r="306" spans="1:15" s="80" customFormat="1" ht="22.5" customHeight="1" x14ac:dyDescent="0.2">
      <c r="A306" s="138" t="s">
        <v>345</v>
      </c>
      <c r="B306" s="138" t="s">
        <v>456</v>
      </c>
      <c r="C306" s="101" t="s">
        <v>7</v>
      </c>
      <c r="D306" s="69">
        <f t="shared" si="108"/>
        <v>2127.6999999999998</v>
      </c>
      <c r="E306" s="69">
        <f>E307+E308+E309+E310</f>
        <v>0</v>
      </c>
      <c r="F306" s="69">
        <f t="shared" ref="F306:L306" si="109">F307+F308+F309+F310</f>
        <v>0</v>
      </c>
      <c r="G306" s="69">
        <f t="shared" si="109"/>
        <v>0</v>
      </c>
      <c r="H306" s="69">
        <f t="shared" si="109"/>
        <v>0</v>
      </c>
      <c r="I306" s="69">
        <f t="shared" si="109"/>
        <v>0</v>
      </c>
      <c r="J306" s="69">
        <f t="shared" si="109"/>
        <v>0</v>
      </c>
      <c r="K306" s="69">
        <f t="shared" si="109"/>
        <v>553.4</v>
      </c>
      <c r="L306" s="69">
        <f t="shared" si="109"/>
        <v>0</v>
      </c>
      <c r="M306" s="69">
        <f t="shared" ref="M306" si="110">M307+M308+M309+M310</f>
        <v>1574.3</v>
      </c>
      <c r="N306" s="69">
        <f t="shared" ref="N306" si="111">N307+N308+N309+N310</f>
        <v>0</v>
      </c>
      <c r="O306" s="69">
        <f t="shared" ref="O306" si="112">O307+O308+O309+O310</f>
        <v>0</v>
      </c>
    </row>
    <row r="307" spans="1:15" s="80" customFormat="1" ht="22.5" customHeight="1" x14ac:dyDescent="0.2">
      <c r="A307" s="139"/>
      <c r="B307" s="138"/>
      <c r="C307" s="96" t="s">
        <v>10</v>
      </c>
      <c r="D307" s="69">
        <f t="shared" si="108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</row>
    <row r="308" spans="1:15" s="80" customFormat="1" ht="22.5" customHeight="1" x14ac:dyDescent="0.2">
      <c r="A308" s="139"/>
      <c r="B308" s="138"/>
      <c r="C308" s="96" t="s">
        <v>11</v>
      </c>
      <c r="D308" s="69">
        <f>E308+F308+G308+H308+I308+J308+K308+L308+M308+N308+O308</f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</row>
    <row r="309" spans="1:15" s="80" customFormat="1" ht="22.5" customHeight="1" x14ac:dyDescent="0.2">
      <c r="A309" s="139"/>
      <c r="B309" s="138"/>
      <c r="C309" s="96" t="s">
        <v>12</v>
      </c>
      <c r="D309" s="69">
        <f t="shared" si="108"/>
        <v>2127.6999999999998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69">
        <v>1574.3</v>
      </c>
      <c r="N309" s="69">
        <v>0</v>
      </c>
      <c r="O309" s="69">
        <v>0</v>
      </c>
    </row>
    <row r="310" spans="1:15" s="80" customFormat="1" ht="33.75" customHeight="1" x14ac:dyDescent="0.2">
      <c r="A310" s="139"/>
      <c r="B310" s="138"/>
      <c r="C310" s="96" t="s">
        <v>13</v>
      </c>
      <c r="D310" s="69">
        <f t="shared" si="108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</row>
    <row r="311" spans="1:15" s="80" customFormat="1" ht="18.75" customHeight="1" x14ac:dyDescent="0.2">
      <c r="A311" s="138" t="s">
        <v>347</v>
      </c>
      <c r="B311" s="138" t="s">
        <v>382</v>
      </c>
      <c r="C311" s="101" t="s">
        <v>7</v>
      </c>
      <c r="D311" s="69">
        <f t="shared" ref="D311:D312" si="113">E311+F311+G311+H311+I311+J311+K311+L311+M311+N311+O311</f>
        <v>37383.999999999993</v>
      </c>
      <c r="E311" s="69">
        <f>E312+E313+E314+E315</f>
        <v>0</v>
      </c>
      <c r="F311" s="69">
        <f t="shared" ref="F311:O311" si="114">F312+F313+F314+F315</f>
        <v>0</v>
      </c>
      <c r="G311" s="69">
        <f t="shared" si="114"/>
        <v>0</v>
      </c>
      <c r="H311" s="69">
        <f t="shared" si="114"/>
        <v>0</v>
      </c>
      <c r="I311" s="69">
        <f t="shared" si="114"/>
        <v>0</v>
      </c>
      <c r="J311" s="69">
        <f t="shared" si="114"/>
        <v>0</v>
      </c>
      <c r="K311" s="69">
        <f t="shared" si="114"/>
        <v>2648</v>
      </c>
      <c r="L311" s="69">
        <f t="shared" si="114"/>
        <v>1101.0999999999999</v>
      </c>
      <c r="M311" s="69">
        <f t="shared" si="114"/>
        <v>33634.899999999994</v>
      </c>
      <c r="N311" s="69">
        <f t="shared" si="114"/>
        <v>0</v>
      </c>
      <c r="O311" s="69">
        <f t="shared" si="114"/>
        <v>0</v>
      </c>
    </row>
    <row r="312" spans="1:15" s="80" customFormat="1" ht="18.75" customHeight="1" x14ac:dyDescent="0.2">
      <c r="A312" s="139"/>
      <c r="B312" s="138"/>
      <c r="C312" s="96" t="s">
        <v>10</v>
      </c>
      <c r="D312" s="69">
        <f t="shared" si="113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</row>
    <row r="313" spans="1:15" s="80" customFormat="1" ht="18.75" customHeight="1" x14ac:dyDescent="0.2">
      <c r="A313" s="139"/>
      <c r="B313" s="138"/>
      <c r="C313" s="96" t="s">
        <v>11</v>
      </c>
      <c r="D313" s="69">
        <f>E313+F313+G313+H313+I313+J313+K313+L313+M313+N313+O313</f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</row>
    <row r="314" spans="1:15" s="80" customFormat="1" ht="18.75" customHeight="1" x14ac:dyDescent="0.2">
      <c r="A314" s="139"/>
      <c r="B314" s="138"/>
      <c r="C314" s="96" t="s">
        <v>12</v>
      </c>
      <c r="D314" s="69">
        <f t="shared" ref="D314:D315" si="115">E314+F314+G314+H314+I314+J314+K314+L314+M314+N314+O314</f>
        <v>37383.999999999993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</f>
        <v>33634.899999999994</v>
      </c>
      <c r="N314" s="69">
        <v>0</v>
      </c>
      <c r="O314" s="69">
        <v>0</v>
      </c>
    </row>
    <row r="315" spans="1:15" s="80" customFormat="1" ht="33.75" customHeight="1" x14ac:dyDescent="0.2">
      <c r="A315" s="139"/>
      <c r="B315" s="138"/>
      <c r="C315" s="96" t="s">
        <v>13</v>
      </c>
      <c r="D315" s="69">
        <f t="shared" si="115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</row>
    <row r="316" spans="1:15" s="80" customFormat="1" ht="18.75" customHeight="1" x14ac:dyDescent="0.2">
      <c r="A316" s="143" t="s">
        <v>407</v>
      </c>
      <c r="B316" s="143" t="s">
        <v>388</v>
      </c>
      <c r="C316" s="101" t="s">
        <v>7</v>
      </c>
      <c r="D316" s="69">
        <f>SUM(D317:D320)</f>
        <v>251.1</v>
      </c>
      <c r="E316" s="69">
        <f t="shared" ref="E316:J316" si="116">SUM(E317:E320)</f>
        <v>0</v>
      </c>
      <c r="F316" s="69">
        <f t="shared" si="116"/>
        <v>0</v>
      </c>
      <c r="G316" s="69">
        <f t="shared" si="116"/>
        <v>0</v>
      </c>
      <c r="H316" s="69">
        <f t="shared" si="116"/>
        <v>0</v>
      </c>
      <c r="I316" s="69">
        <f t="shared" si="116"/>
        <v>0</v>
      </c>
      <c r="J316" s="69">
        <f t="shared" si="116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</row>
    <row r="317" spans="1:15" s="80" customFormat="1" ht="18.75" customHeight="1" x14ac:dyDescent="0.2">
      <c r="A317" s="144"/>
      <c r="B317" s="144"/>
      <c r="C317" s="96" t="s">
        <v>10</v>
      </c>
      <c r="D317" s="69">
        <f>SUM(E317:O317)</f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</row>
    <row r="318" spans="1:15" s="80" customFormat="1" ht="18.75" customHeight="1" x14ac:dyDescent="0.2">
      <c r="A318" s="144"/>
      <c r="B318" s="144"/>
      <c r="C318" s="96" t="s">
        <v>11</v>
      </c>
      <c r="D318" s="69">
        <f t="shared" ref="D318:D320" si="117">SUM(E318:O318)</f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</row>
    <row r="319" spans="1:15" s="80" customFormat="1" ht="18.75" customHeight="1" x14ac:dyDescent="0.2">
      <c r="A319" s="144"/>
      <c r="B319" s="144"/>
      <c r="C319" s="96" t="s">
        <v>12</v>
      </c>
      <c r="D319" s="69">
        <f t="shared" si="117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</row>
    <row r="320" spans="1:15" s="80" customFormat="1" ht="35.25" customHeight="1" x14ac:dyDescent="0.2">
      <c r="A320" s="145"/>
      <c r="B320" s="145"/>
      <c r="C320" s="96" t="s">
        <v>13</v>
      </c>
      <c r="D320" s="69">
        <f t="shared" si="117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</row>
    <row r="321" spans="1:22" s="80" customFormat="1" ht="18.75" hidden="1" customHeight="1" x14ac:dyDescent="0.2">
      <c r="A321" s="143"/>
      <c r="B321" s="143" t="s">
        <v>400</v>
      </c>
      <c r="C321" s="101" t="s">
        <v>7</v>
      </c>
      <c r="D321" s="69">
        <f>SUM(D322:D325)</f>
        <v>0</v>
      </c>
      <c r="E321" s="69">
        <f t="shared" ref="E321:J321" si="118">SUM(E322:E325)</f>
        <v>0</v>
      </c>
      <c r="F321" s="69">
        <f t="shared" si="118"/>
        <v>0</v>
      </c>
      <c r="G321" s="69">
        <f t="shared" si="118"/>
        <v>0</v>
      </c>
      <c r="H321" s="69">
        <f t="shared" si="118"/>
        <v>0</v>
      </c>
      <c r="I321" s="69">
        <f t="shared" si="118"/>
        <v>0</v>
      </c>
      <c r="J321" s="69">
        <f t="shared" si="118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</row>
    <row r="322" spans="1:22" s="80" customFormat="1" ht="18.75" hidden="1" customHeight="1" x14ac:dyDescent="0.2">
      <c r="A322" s="144"/>
      <c r="B322" s="144"/>
      <c r="C322" s="96" t="s">
        <v>10</v>
      </c>
      <c r="D322" s="69">
        <f>SUM(E322:O322)</f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</row>
    <row r="323" spans="1:22" s="80" customFormat="1" ht="18.75" hidden="1" customHeight="1" x14ac:dyDescent="0.2">
      <c r="A323" s="144"/>
      <c r="B323" s="144"/>
      <c r="C323" s="96" t="s">
        <v>11</v>
      </c>
      <c r="D323" s="69">
        <f t="shared" ref="D323:D325" si="119">SUM(E323:O323)</f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</row>
    <row r="324" spans="1:22" s="80" customFormat="1" ht="18.75" hidden="1" customHeight="1" x14ac:dyDescent="0.2">
      <c r="A324" s="144"/>
      <c r="B324" s="144"/>
      <c r="C324" s="96" t="s">
        <v>12</v>
      </c>
      <c r="D324" s="69">
        <f t="shared" si="119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</row>
    <row r="325" spans="1:22" s="80" customFormat="1" ht="18.75" hidden="1" customHeight="1" x14ac:dyDescent="0.2">
      <c r="A325" s="145"/>
      <c r="B325" s="145"/>
      <c r="C325" s="96" t="s">
        <v>13</v>
      </c>
      <c r="D325" s="69">
        <f t="shared" si="119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</row>
    <row r="326" spans="1:22" s="80" customFormat="1" ht="18.75" customHeight="1" x14ac:dyDescent="0.2">
      <c r="A326" s="143" t="s">
        <v>405</v>
      </c>
      <c r="B326" s="143" t="s">
        <v>406</v>
      </c>
      <c r="C326" s="101" t="s">
        <v>7</v>
      </c>
      <c r="D326" s="69">
        <f>SUM(D327:D330)</f>
        <v>994.1</v>
      </c>
      <c r="E326" s="69">
        <f t="shared" ref="E326:J326" si="120">SUM(E327:E330)</f>
        <v>0</v>
      </c>
      <c r="F326" s="69">
        <f t="shared" si="120"/>
        <v>0</v>
      </c>
      <c r="G326" s="69">
        <f t="shared" si="120"/>
        <v>0</v>
      </c>
      <c r="H326" s="69">
        <f t="shared" si="120"/>
        <v>0</v>
      </c>
      <c r="I326" s="69">
        <f t="shared" si="120"/>
        <v>0</v>
      </c>
      <c r="J326" s="69">
        <f t="shared" si="120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</row>
    <row r="327" spans="1:22" s="80" customFormat="1" ht="18.75" customHeight="1" x14ac:dyDescent="0.2">
      <c r="A327" s="144"/>
      <c r="B327" s="144"/>
      <c r="C327" s="96" t="s">
        <v>10</v>
      </c>
      <c r="D327" s="69">
        <f>SUM(E327:O327)</f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</row>
    <row r="328" spans="1:22" s="80" customFormat="1" ht="18.75" customHeight="1" x14ac:dyDescent="0.2">
      <c r="A328" s="144"/>
      <c r="B328" s="144"/>
      <c r="C328" s="96" t="s">
        <v>11</v>
      </c>
      <c r="D328" s="69">
        <f t="shared" ref="D328:D330" si="121">SUM(E328:O328)</f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</row>
    <row r="329" spans="1:22" s="80" customFormat="1" ht="18.75" customHeight="1" x14ac:dyDescent="0.2">
      <c r="A329" s="144"/>
      <c r="B329" s="144"/>
      <c r="C329" s="96" t="s">
        <v>12</v>
      </c>
      <c r="D329" s="69">
        <f t="shared" si="121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</row>
    <row r="330" spans="1:22" s="80" customFormat="1" ht="33.75" customHeight="1" x14ac:dyDescent="0.2">
      <c r="A330" s="145"/>
      <c r="B330" s="145"/>
      <c r="C330" s="96" t="s">
        <v>13</v>
      </c>
      <c r="D330" s="69">
        <f t="shared" si="121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</row>
    <row r="331" spans="1:22" s="80" customFormat="1" ht="18.75" customHeight="1" x14ac:dyDescent="0.2">
      <c r="A331" s="143" t="s">
        <v>380</v>
      </c>
      <c r="B331" s="143" t="s">
        <v>418</v>
      </c>
      <c r="C331" s="101" t="s">
        <v>7</v>
      </c>
      <c r="D331" s="69">
        <f>SUM(D332:D335)</f>
        <v>1269013.2000000002</v>
      </c>
      <c r="E331" s="69">
        <f t="shared" ref="E331:J331" si="122">SUM(E332:E335)</f>
        <v>0</v>
      </c>
      <c r="F331" s="69">
        <f t="shared" si="122"/>
        <v>0</v>
      </c>
      <c r="G331" s="69">
        <f t="shared" si="122"/>
        <v>0</v>
      </c>
      <c r="H331" s="69">
        <f t="shared" si="122"/>
        <v>0</v>
      </c>
      <c r="I331" s="69">
        <f t="shared" si="122"/>
        <v>0</v>
      </c>
      <c r="J331" s="69">
        <f t="shared" si="122"/>
        <v>0</v>
      </c>
      <c r="K331" s="69">
        <f>SUM(K332:K335)</f>
        <v>0</v>
      </c>
      <c r="L331" s="69">
        <f t="shared" ref="L331:O331" si="123">SUM(L332:L335)</f>
        <v>429013.19999999995</v>
      </c>
      <c r="M331" s="69">
        <f t="shared" si="123"/>
        <v>840000</v>
      </c>
      <c r="N331" s="69">
        <f t="shared" si="123"/>
        <v>0</v>
      </c>
      <c r="O331" s="69">
        <f t="shared" si="123"/>
        <v>0</v>
      </c>
      <c r="P331" s="75"/>
      <c r="Q331" s="75"/>
      <c r="R331" s="75"/>
      <c r="S331" s="75"/>
      <c r="T331" s="75"/>
      <c r="U331" s="75"/>
      <c r="V331" s="75"/>
    </row>
    <row r="332" spans="1:22" s="80" customFormat="1" ht="18.75" customHeight="1" x14ac:dyDescent="0.2">
      <c r="A332" s="144"/>
      <c r="B332" s="144"/>
      <c r="C332" s="96" t="s">
        <v>10</v>
      </c>
      <c r="D332" s="69">
        <f>SUM(E332:O332)</f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</row>
    <row r="333" spans="1:22" s="80" customFormat="1" ht="18.75" customHeight="1" x14ac:dyDescent="0.2">
      <c r="A333" s="144"/>
      <c r="B333" s="144"/>
      <c r="C333" s="96" t="s">
        <v>11</v>
      </c>
      <c r="D333" s="69">
        <f t="shared" ref="D333:D335" si="124">SUM(E333:O333)</f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25">M338+M343</f>
        <v>831600</v>
      </c>
      <c r="N333" s="69">
        <f t="shared" si="125"/>
        <v>0</v>
      </c>
      <c r="O333" s="69">
        <f t="shared" si="125"/>
        <v>0</v>
      </c>
      <c r="P333" s="69">
        <f t="shared" si="125"/>
        <v>0</v>
      </c>
      <c r="Q333" s="69">
        <f t="shared" si="125"/>
        <v>0</v>
      </c>
      <c r="R333" s="69">
        <f t="shared" si="125"/>
        <v>0</v>
      </c>
      <c r="S333" s="69">
        <f t="shared" si="125"/>
        <v>0</v>
      </c>
      <c r="T333" s="69">
        <f t="shared" si="125"/>
        <v>0</v>
      </c>
      <c r="U333" s="69">
        <f t="shared" si="125"/>
        <v>0</v>
      </c>
      <c r="V333" s="69">
        <f t="shared" si="125"/>
        <v>0</v>
      </c>
    </row>
    <row r="334" spans="1:22" s="80" customFormat="1" ht="18.75" customHeight="1" x14ac:dyDescent="0.2">
      <c r="A334" s="144"/>
      <c r="B334" s="144"/>
      <c r="C334" s="96" t="s">
        <v>12</v>
      </c>
      <c r="D334" s="69">
        <f t="shared" si="124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26">M339++M344</f>
        <v>8400</v>
      </c>
      <c r="N334" s="69">
        <f t="shared" si="126"/>
        <v>0</v>
      </c>
      <c r="O334" s="69">
        <f t="shared" si="126"/>
        <v>0</v>
      </c>
      <c r="P334" s="75"/>
      <c r="Q334" s="75"/>
      <c r="R334" s="75"/>
      <c r="S334" s="75"/>
      <c r="T334" s="75"/>
      <c r="U334" s="75"/>
      <c r="V334" s="75"/>
    </row>
    <row r="335" spans="1:22" s="80" customFormat="1" ht="36.75" customHeight="1" x14ac:dyDescent="0.2">
      <c r="A335" s="145"/>
      <c r="B335" s="145"/>
      <c r="C335" s="96" t="s">
        <v>13</v>
      </c>
      <c r="D335" s="69">
        <f t="shared" si="124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</row>
    <row r="336" spans="1:22" s="80" customFormat="1" ht="21" customHeight="1" x14ac:dyDescent="0.2">
      <c r="A336" s="143" t="s">
        <v>425</v>
      </c>
      <c r="B336" s="143" t="s">
        <v>417</v>
      </c>
      <c r="C336" s="101" t="s">
        <v>7</v>
      </c>
      <c r="D336" s="69">
        <f>SUM(D337:D340)</f>
        <v>1200000</v>
      </c>
      <c r="E336" s="69">
        <f t="shared" ref="E336:J336" si="127">SUM(E337:E340)</f>
        <v>0</v>
      </c>
      <c r="F336" s="69">
        <f t="shared" si="127"/>
        <v>0</v>
      </c>
      <c r="G336" s="69">
        <f t="shared" si="127"/>
        <v>0</v>
      </c>
      <c r="H336" s="69">
        <f t="shared" si="127"/>
        <v>0</v>
      </c>
      <c r="I336" s="69">
        <f t="shared" si="127"/>
        <v>0</v>
      </c>
      <c r="J336" s="69">
        <f t="shared" si="127"/>
        <v>0</v>
      </c>
      <c r="K336" s="69">
        <f>SUM(K337:K340)</f>
        <v>0</v>
      </c>
      <c r="L336" s="69">
        <f t="shared" ref="L336:O336" si="128">SUM(L337:L340)</f>
        <v>360000</v>
      </c>
      <c r="M336" s="69">
        <f t="shared" si="128"/>
        <v>840000</v>
      </c>
      <c r="N336" s="69">
        <f t="shared" si="128"/>
        <v>0</v>
      </c>
      <c r="O336" s="69">
        <f t="shared" si="128"/>
        <v>0</v>
      </c>
      <c r="P336" s="75"/>
      <c r="Q336" s="75"/>
      <c r="R336" s="75"/>
      <c r="S336" s="75"/>
      <c r="T336" s="75"/>
      <c r="U336" s="75"/>
      <c r="V336" s="75"/>
    </row>
    <row r="337" spans="1:22" s="80" customFormat="1" ht="21" customHeight="1" x14ac:dyDescent="0.2">
      <c r="A337" s="144"/>
      <c r="B337" s="144"/>
      <c r="C337" s="96" t="s">
        <v>10</v>
      </c>
      <c r="D337" s="69">
        <f>SUM(E337:O337)</f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</row>
    <row r="338" spans="1:22" s="80" customFormat="1" ht="21" customHeight="1" x14ac:dyDescent="0.2">
      <c r="A338" s="144"/>
      <c r="B338" s="144"/>
      <c r="C338" s="96" t="s">
        <v>11</v>
      </c>
      <c r="D338" s="69">
        <f t="shared" ref="D338:D340" si="129">SUM(E338:O338)</f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</row>
    <row r="339" spans="1:22" s="80" customFormat="1" ht="21" customHeight="1" x14ac:dyDescent="0.2">
      <c r="A339" s="144"/>
      <c r="B339" s="144"/>
      <c r="C339" s="96" t="s">
        <v>12</v>
      </c>
      <c r="D339" s="69">
        <f t="shared" si="129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</row>
    <row r="340" spans="1:22" s="80" customFormat="1" ht="30.75" customHeight="1" x14ac:dyDescent="0.2">
      <c r="A340" s="145"/>
      <c r="B340" s="145"/>
      <c r="C340" s="96" t="s">
        <v>13</v>
      </c>
      <c r="D340" s="69">
        <f t="shared" si="129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</row>
    <row r="341" spans="1:22" s="80" customFormat="1" ht="21" customHeight="1" x14ac:dyDescent="0.2">
      <c r="A341" s="143" t="s">
        <v>426</v>
      </c>
      <c r="B341" s="143" t="s">
        <v>414</v>
      </c>
      <c r="C341" s="101" t="s">
        <v>7</v>
      </c>
      <c r="D341" s="69">
        <f>SUM(D342:D345)</f>
        <v>69013.200000000012</v>
      </c>
      <c r="E341" s="69">
        <f t="shared" ref="E341:J341" si="130">SUM(E342:E345)</f>
        <v>0</v>
      </c>
      <c r="F341" s="69">
        <f t="shared" si="130"/>
        <v>0</v>
      </c>
      <c r="G341" s="69">
        <f t="shared" si="130"/>
        <v>0</v>
      </c>
      <c r="H341" s="69">
        <f t="shared" si="130"/>
        <v>0</v>
      </c>
      <c r="I341" s="69">
        <f t="shared" si="130"/>
        <v>0</v>
      </c>
      <c r="J341" s="69">
        <f t="shared" si="130"/>
        <v>0</v>
      </c>
      <c r="K341" s="69">
        <f>SUM(K342:K345)</f>
        <v>0</v>
      </c>
      <c r="L341" s="69">
        <f t="shared" ref="L341:O341" si="131">SUM(L342:L345)</f>
        <v>69013.200000000012</v>
      </c>
      <c r="M341" s="69">
        <f t="shared" si="131"/>
        <v>0</v>
      </c>
      <c r="N341" s="69">
        <f t="shared" si="131"/>
        <v>0</v>
      </c>
      <c r="O341" s="69">
        <f t="shared" si="131"/>
        <v>0</v>
      </c>
      <c r="P341" s="75"/>
      <c r="Q341" s="75"/>
      <c r="R341" s="75"/>
      <c r="S341" s="75"/>
      <c r="T341" s="75"/>
      <c r="U341" s="75"/>
      <c r="V341" s="75"/>
    </row>
    <row r="342" spans="1:22" s="80" customFormat="1" ht="21" customHeight="1" x14ac:dyDescent="0.2">
      <c r="A342" s="144"/>
      <c r="B342" s="144"/>
      <c r="C342" s="96" t="s">
        <v>10</v>
      </c>
      <c r="D342" s="69">
        <f>SUM(E342:O342)</f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</row>
    <row r="343" spans="1:22" s="80" customFormat="1" ht="21" customHeight="1" x14ac:dyDescent="0.2">
      <c r="A343" s="144"/>
      <c r="B343" s="144"/>
      <c r="C343" s="96" t="s">
        <v>11</v>
      </c>
      <c r="D343" s="69">
        <f t="shared" ref="D343:D345" si="132">SUM(E343:O343)</f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</row>
    <row r="344" spans="1:22" s="80" customFormat="1" ht="21" customHeight="1" x14ac:dyDescent="0.2">
      <c r="A344" s="144"/>
      <c r="B344" s="144"/>
      <c r="C344" s="96" t="s">
        <v>12</v>
      </c>
      <c r="D344" s="69">
        <f t="shared" si="132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</row>
    <row r="345" spans="1:22" s="80" customFormat="1" ht="36" customHeight="1" x14ac:dyDescent="0.2">
      <c r="A345" s="145"/>
      <c r="B345" s="145"/>
      <c r="C345" s="96" t="s">
        <v>13</v>
      </c>
      <c r="D345" s="69">
        <f t="shared" si="132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</row>
    <row r="346" spans="1:22" s="80" customFormat="1" ht="18.75" customHeight="1" x14ac:dyDescent="0.2">
      <c r="A346" s="143" t="s">
        <v>381</v>
      </c>
      <c r="B346" s="143" t="s">
        <v>409</v>
      </c>
      <c r="C346" s="101" t="s">
        <v>7</v>
      </c>
      <c r="D346" s="69">
        <f>SUM(D347:D350)</f>
        <v>520608</v>
      </c>
      <c r="E346" s="69">
        <f t="shared" ref="E346:J346" si="133">SUM(E347:E350)</f>
        <v>0</v>
      </c>
      <c r="F346" s="69">
        <f t="shared" si="133"/>
        <v>0</v>
      </c>
      <c r="G346" s="69">
        <f t="shared" si="133"/>
        <v>0</v>
      </c>
      <c r="H346" s="69">
        <f t="shared" si="133"/>
        <v>0</v>
      </c>
      <c r="I346" s="69">
        <f t="shared" si="133"/>
        <v>0</v>
      </c>
      <c r="J346" s="69">
        <f t="shared" si="133"/>
        <v>0</v>
      </c>
      <c r="K346" s="69">
        <f>SUM(K347:K350)</f>
        <v>0</v>
      </c>
      <c r="L346" s="69">
        <f t="shared" ref="L346:N346" si="134">SUM(L347:L350)</f>
        <v>152212.40000000002</v>
      </c>
      <c r="M346" s="69">
        <f>SUM(M347:M350)</f>
        <v>114473.5</v>
      </c>
      <c r="N346" s="69">
        <f t="shared" si="134"/>
        <v>124117.20000000001</v>
      </c>
      <c r="O346" s="69">
        <f t="shared" ref="O346" si="135">SUM(O347:O350)</f>
        <v>129804.90000000001</v>
      </c>
      <c r="P346" s="75"/>
      <c r="Q346" s="75"/>
      <c r="R346" s="75"/>
      <c r="S346" s="75"/>
      <c r="T346" s="75"/>
      <c r="U346" s="75"/>
      <c r="V346" s="75"/>
    </row>
    <row r="347" spans="1:22" s="80" customFormat="1" ht="18.75" customHeight="1" x14ac:dyDescent="0.2">
      <c r="A347" s="144"/>
      <c r="B347" s="144"/>
      <c r="C347" s="96" t="s">
        <v>10</v>
      </c>
      <c r="D347" s="69">
        <f>SUM(E347:O347)</f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</row>
    <row r="348" spans="1:22" s="80" customFormat="1" ht="18.75" customHeight="1" x14ac:dyDescent="0.2">
      <c r="A348" s="144"/>
      <c r="B348" s="144"/>
      <c r="C348" s="96" t="s">
        <v>11</v>
      </c>
      <c r="D348" s="69">
        <f t="shared" ref="D348:D350" si="136">SUM(E348:O348)</f>
        <v>489371.6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</f>
        <v>107605.1</v>
      </c>
      <c r="N348" s="69">
        <f>114543.6-4523.5+6650.1</f>
        <v>116670.20000000001</v>
      </c>
      <c r="O348" s="69">
        <f>114543.6+7473</f>
        <v>122016.6</v>
      </c>
      <c r="P348" s="75"/>
      <c r="Q348" s="75"/>
      <c r="R348" s="75"/>
      <c r="S348" s="75"/>
      <c r="T348" s="75"/>
      <c r="U348" s="75"/>
      <c r="V348" s="75"/>
    </row>
    <row r="349" spans="1:22" s="80" customFormat="1" ht="18.75" customHeight="1" x14ac:dyDescent="0.2">
      <c r="A349" s="144"/>
      <c r="B349" s="144"/>
      <c r="C349" s="96" t="s">
        <v>12</v>
      </c>
      <c r="D349" s="69">
        <f t="shared" si="136"/>
        <v>31236.399999999998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</f>
        <v>6868.4</v>
      </c>
      <c r="N349" s="69">
        <f>7311.3-288.7+424.4</f>
        <v>7447</v>
      </c>
      <c r="O349" s="69">
        <f>7311.3+477</f>
        <v>7788.3</v>
      </c>
      <c r="P349" s="75"/>
      <c r="Q349" s="75"/>
      <c r="R349" s="75"/>
      <c r="S349" s="75"/>
      <c r="T349" s="75"/>
      <c r="U349" s="75"/>
      <c r="V349" s="75"/>
    </row>
    <row r="350" spans="1:22" s="80" customFormat="1" ht="33.75" customHeight="1" x14ac:dyDescent="0.2">
      <c r="A350" s="145"/>
      <c r="B350" s="145"/>
      <c r="C350" s="96" t="s">
        <v>13</v>
      </c>
      <c r="D350" s="69">
        <f t="shared" si="136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</row>
    <row r="351" spans="1:22" s="80" customFormat="1" ht="18.75" customHeight="1" x14ac:dyDescent="0.2">
      <c r="A351" s="143" t="s">
        <v>408</v>
      </c>
      <c r="B351" s="143" t="s">
        <v>411</v>
      </c>
      <c r="C351" s="101" t="s">
        <v>7</v>
      </c>
      <c r="D351" s="69">
        <f>SUM(D352:D355)</f>
        <v>2577072.7000000002</v>
      </c>
      <c r="E351" s="69">
        <f t="shared" ref="E351:J351" si="137">SUM(E352:E355)</f>
        <v>0</v>
      </c>
      <c r="F351" s="69">
        <f t="shared" si="137"/>
        <v>0</v>
      </c>
      <c r="G351" s="69">
        <f t="shared" si="137"/>
        <v>0</v>
      </c>
      <c r="H351" s="69">
        <f t="shared" si="137"/>
        <v>0</v>
      </c>
      <c r="I351" s="69">
        <f t="shared" si="137"/>
        <v>0</v>
      </c>
      <c r="J351" s="69">
        <f t="shared" si="137"/>
        <v>0</v>
      </c>
      <c r="K351" s="69">
        <f>SUM(K352:K355)</f>
        <v>0</v>
      </c>
      <c r="L351" s="69">
        <f t="shared" ref="L351:O351" si="138">SUM(L352:L355)</f>
        <v>808080.8</v>
      </c>
      <c r="M351" s="69">
        <f t="shared" si="138"/>
        <v>1768991.9</v>
      </c>
      <c r="N351" s="69">
        <f t="shared" si="138"/>
        <v>0</v>
      </c>
      <c r="O351" s="69">
        <f t="shared" si="138"/>
        <v>0</v>
      </c>
      <c r="P351" s="75"/>
      <c r="Q351" s="75"/>
      <c r="R351" s="75"/>
      <c r="S351" s="75"/>
      <c r="T351" s="75"/>
      <c r="U351" s="75"/>
      <c r="V351" s="75"/>
    </row>
    <row r="352" spans="1:22" s="80" customFormat="1" ht="18.75" customHeight="1" x14ac:dyDescent="0.2">
      <c r="A352" s="144"/>
      <c r="B352" s="144"/>
      <c r="C352" s="96" t="s">
        <v>10</v>
      </c>
      <c r="D352" s="69">
        <f>SUM(E352:O352)</f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</row>
    <row r="353" spans="1:22" s="80" customFormat="1" ht="18.75" customHeight="1" x14ac:dyDescent="0.2">
      <c r="A353" s="144"/>
      <c r="B353" s="144"/>
      <c r="C353" s="96" t="s">
        <v>11</v>
      </c>
      <c r="D353" s="69">
        <f t="shared" ref="D353:D355" si="139">SUM(E353:O353)</f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</row>
    <row r="354" spans="1:22" s="80" customFormat="1" ht="18.75" customHeight="1" x14ac:dyDescent="0.2">
      <c r="A354" s="144"/>
      <c r="B354" s="144"/>
      <c r="C354" s="96" t="s">
        <v>12</v>
      </c>
      <c r="D354" s="69">
        <f t="shared" si="139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</row>
    <row r="355" spans="1:22" s="80" customFormat="1" ht="37.5" customHeight="1" x14ac:dyDescent="0.2">
      <c r="A355" s="145"/>
      <c r="B355" s="145"/>
      <c r="C355" s="96" t="s">
        <v>13</v>
      </c>
      <c r="D355" s="69">
        <f t="shared" si="139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</row>
    <row r="356" spans="1:22" s="80" customFormat="1" ht="18.75" customHeight="1" x14ac:dyDescent="0.2">
      <c r="A356" s="140" t="s">
        <v>437</v>
      </c>
      <c r="B356" s="143" t="s">
        <v>438</v>
      </c>
      <c r="C356" s="101" t="s">
        <v>7</v>
      </c>
      <c r="D356" s="69">
        <f>SUM(D357:D360)</f>
        <v>2577072.7000000002</v>
      </c>
      <c r="E356" s="69">
        <f t="shared" ref="E356:J356" si="140">SUM(E357:E360)</f>
        <v>0</v>
      </c>
      <c r="F356" s="69">
        <f t="shared" si="140"/>
        <v>0</v>
      </c>
      <c r="G356" s="69">
        <f t="shared" si="140"/>
        <v>0</v>
      </c>
      <c r="H356" s="69">
        <f t="shared" si="140"/>
        <v>0</v>
      </c>
      <c r="I356" s="69">
        <f t="shared" si="140"/>
        <v>0</v>
      </c>
      <c r="J356" s="69">
        <f t="shared" si="140"/>
        <v>0</v>
      </c>
      <c r="K356" s="69">
        <f>SUM(K357:K360)</f>
        <v>0</v>
      </c>
      <c r="L356" s="69">
        <f t="shared" ref="L356:O356" si="141">SUM(L357:L360)</f>
        <v>808080.8</v>
      </c>
      <c r="M356" s="69">
        <f t="shared" si="141"/>
        <v>1768991.9</v>
      </c>
      <c r="N356" s="69">
        <f t="shared" si="141"/>
        <v>0</v>
      </c>
      <c r="O356" s="69">
        <f t="shared" si="141"/>
        <v>0</v>
      </c>
      <c r="P356" s="75"/>
      <c r="Q356" s="75"/>
      <c r="R356" s="75"/>
      <c r="S356" s="75"/>
      <c r="T356" s="75"/>
      <c r="U356" s="75"/>
      <c r="V356" s="75"/>
    </row>
    <row r="357" spans="1:22" s="80" customFormat="1" ht="18.75" customHeight="1" x14ac:dyDescent="0.2">
      <c r="A357" s="141"/>
      <c r="B357" s="144"/>
      <c r="C357" s="96" t="s">
        <v>10</v>
      </c>
      <c r="D357" s="69">
        <f>SUM(E357:O357)</f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</row>
    <row r="358" spans="1:22" s="80" customFormat="1" ht="18.75" customHeight="1" x14ac:dyDescent="0.2">
      <c r="A358" s="141"/>
      <c r="B358" s="144"/>
      <c r="C358" s="96" t="s">
        <v>11</v>
      </c>
      <c r="D358" s="69">
        <f t="shared" ref="D358:D360" si="142">SUM(E358:O358)</f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</row>
    <row r="359" spans="1:22" s="80" customFormat="1" ht="18.75" customHeight="1" x14ac:dyDescent="0.2">
      <c r="A359" s="141"/>
      <c r="B359" s="144"/>
      <c r="C359" s="96" t="s">
        <v>12</v>
      </c>
      <c r="D359" s="69">
        <f t="shared" si="142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</row>
    <row r="360" spans="1:22" s="80" customFormat="1" ht="33.75" customHeight="1" x14ac:dyDescent="0.2">
      <c r="A360" s="142"/>
      <c r="B360" s="145"/>
      <c r="C360" s="96" t="s">
        <v>13</v>
      </c>
      <c r="D360" s="69">
        <f t="shared" si="142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</row>
    <row r="361" spans="1:22" s="80" customFormat="1" ht="18.75" customHeight="1" x14ac:dyDescent="0.2">
      <c r="A361" s="143" t="s">
        <v>410</v>
      </c>
      <c r="B361" s="143" t="s">
        <v>422</v>
      </c>
      <c r="C361" s="101" t="s">
        <v>7</v>
      </c>
      <c r="D361" s="69">
        <f>SUM(D362:D365)</f>
        <v>360.29999999999995</v>
      </c>
      <c r="E361" s="69">
        <f t="shared" ref="E361:J361" si="143">SUM(E362:E365)</f>
        <v>0</v>
      </c>
      <c r="F361" s="69">
        <f t="shared" si="143"/>
        <v>0</v>
      </c>
      <c r="G361" s="69">
        <f t="shared" si="143"/>
        <v>0</v>
      </c>
      <c r="H361" s="69">
        <f t="shared" si="143"/>
        <v>0</v>
      </c>
      <c r="I361" s="69">
        <f t="shared" si="143"/>
        <v>0</v>
      </c>
      <c r="J361" s="69">
        <f t="shared" si="143"/>
        <v>0</v>
      </c>
      <c r="K361" s="69">
        <f>SUM(K362:K365)</f>
        <v>0</v>
      </c>
      <c r="L361" s="69">
        <f t="shared" ref="L361:O361" si="144">SUM(L362:L365)</f>
        <v>258.29999999999995</v>
      </c>
      <c r="M361" s="69">
        <f t="shared" si="144"/>
        <v>102</v>
      </c>
      <c r="N361" s="69">
        <f t="shared" si="144"/>
        <v>0</v>
      </c>
      <c r="O361" s="69">
        <f t="shared" si="144"/>
        <v>0</v>
      </c>
      <c r="P361" s="75"/>
      <c r="Q361" s="75"/>
      <c r="R361" s="75"/>
      <c r="S361" s="75"/>
      <c r="T361" s="75"/>
      <c r="U361" s="75"/>
      <c r="V361" s="75"/>
    </row>
    <row r="362" spans="1:22" s="80" customFormat="1" ht="18.75" customHeight="1" x14ac:dyDescent="0.2">
      <c r="A362" s="144"/>
      <c r="B362" s="144"/>
      <c r="C362" s="96" t="s">
        <v>10</v>
      </c>
      <c r="D362" s="69">
        <f>SUM(E362:O362)</f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</row>
    <row r="363" spans="1:22" s="80" customFormat="1" ht="18.75" customHeight="1" x14ac:dyDescent="0.2">
      <c r="A363" s="144"/>
      <c r="B363" s="144"/>
      <c r="C363" s="96" t="s">
        <v>11</v>
      </c>
      <c r="D363" s="69">
        <f t="shared" ref="D363:D365" si="145">SUM(E363:O363)</f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</row>
    <row r="364" spans="1:22" s="80" customFormat="1" ht="18.75" customHeight="1" x14ac:dyDescent="0.2">
      <c r="A364" s="144"/>
      <c r="B364" s="144"/>
      <c r="C364" s="96" t="s">
        <v>12</v>
      </c>
      <c r="D364" s="69">
        <f t="shared" si="145"/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69">
        <f>52+50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</row>
    <row r="365" spans="1:22" s="80" customFormat="1" ht="39" customHeight="1" x14ac:dyDescent="0.2">
      <c r="A365" s="145"/>
      <c r="B365" s="145"/>
      <c r="C365" s="96" t="s">
        <v>13</v>
      </c>
      <c r="D365" s="69">
        <f t="shared" si="145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</row>
    <row r="366" spans="1:22" s="80" customFormat="1" ht="18.75" customHeight="1" x14ac:dyDescent="0.2">
      <c r="A366" s="143" t="s">
        <v>427</v>
      </c>
      <c r="B366" s="143" t="s">
        <v>430</v>
      </c>
      <c r="C366" s="101" t="s">
        <v>7</v>
      </c>
      <c r="D366" s="69">
        <f>SUM(D367:D370)</f>
        <v>4394382.7</v>
      </c>
      <c r="E366" s="69">
        <f t="shared" ref="E366:J366" si="146">SUM(E367:E370)</f>
        <v>0</v>
      </c>
      <c r="F366" s="69">
        <f t="shared" si="146"/>
        <v>0</v>
      </c>
      <c r="G366" s="69">
        <f t="shared" si="146"/>
        <v>0</v>
      </c>
      <c r="H366" s="69">
        <f t="shared" si="146"/>
        <v>0</v>
      </c>
      <c r="I366" s="69">
        <f t="shared" si="146"/>
        <v>0</v>
      </c>
      <c r="J366" s="69">
        <f t="shared" si="146"/>
        <v>0</v>
      </c>
      <c r="K366" s="69">
        <f>SUM(K367:K370)</f>
        <v>0</v>
      </c>
      <c r="L366" s="69">
        <f t="shared" ref="L366:O366" si="147">SUM(L367:L370)</f>
        <v>1044585.9</v>
      </c>
      <c r="M366" s="69">
        <f t="shared" si="147"/>
        <v>804898.4</v>
      </c>
      <c r="N366" s="69">
        <f t="shared" si="147"/>
        <v>2544898.4</v>
      </c>
      <c r="O366" s="69">
        <f t="shared" si="147"/>
        <v>0</v>
      </c>
      <c r="P366" s="75"/>
      <c r="Q366" s="75"/>
      <c r="R366" s="75"/>
      <c r="S366" s="75"/>
      <c r="T366" s="75"/>
      <c r="U366" s="75"/>
      <c r="V366" s="75"/>
    </row>
    <row r="367" spans="1:22" s="80" customFormat="1" ht="18.75" customHeight="1" x14ac:dyDescent="0.2">
      <c r="A367" s="144"/>
      <c r="B367" s="144"/>
      <c r="C367" s="96" t="s">
        <v>10</v>
      </c>
      <c r="D367" s="69">
        <f>SUM(E367:O367)</f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48">M372+M377</f>
        <v>0</v>
      </c>
      <c r="N367" s="69">
        <f t="shared" si="148"/>
        <v>0</v>
      </c>
      <c r="O367" s="69">
        <f t="shared" si="148"/>
        <v>0</v>
      </c>
      <c r="P367" s="75"/>
      <c r="Q367" s="75"/>
      <c r="R367" s="75"/>
      <c r="S367" s="75"/>
      <c r="T367" s="75"/>
      <c r="U367" s="75"/>
      <c r="V367" s="75"/>
    </row>
    <row r="368" spans="1:22" s="80" customFormat="1" ht="18.75" customHeight="1" x14ac:dyDescent="0.2">
      <c r="A368" s="144"/>
      <c r="B368" s="144"/>
      <c r="C368" s="96" t="s">
        <v>11</v>
      </c>
      <c r="D368" s="69">
        <f t="shared" ref="D368:D370" si="149">SUM(E368:O368)</f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50">M373+M378</f>
        <v>796849.4</v>
      </c>
      <c r="N368" s="69">
        <f t="shared" si="150"/>
        <v>2519449.4</v>
      </c>
      <c r="O368" s="69">
        <f t="shared" si="150"/>
        <v>0</v>
      </c>
      <c r="P368" s="75"/>
      <c r="Q368" s="75"/>
      <c r="R368" s="75"/>
      <c r="S368" s="75"/>
      <c r="T368" s="75"/>
      <c r="U368" s="75"/>
      <c r="V368" s="75"/>
    </row>
    <row r="369" spans="1:22" s="80" customFormat="1" ht="18.75" customHeight="1" x14ac:dyDescent="0.2">
      <c r="A369" s="144"/>
      <c r="B369" s="144"/>
      <c r="C369" s="96" t="s">
        <v>12</v>
      </c>
      <c r="D369" s="69">
        <f t="shared" si="149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51">M379+M374</f>
        <v>8049</v>
      </c>
      <c r="N369" s="69">
        <f t="shared" si="151"/>
        <v>25449</v>
      </c>
      <c r="O369" s="69">
        <f t="shared" si="151"/>
        <v>0</v>
      </c>
      <c r="P369" s="69">
        <f t="shared" si="151"/>
        <v>0</v>
      </c>
      <c r="Q369" s="69">
        <f t="shared" si="151"/>
        <v>0</v>
      </c>
      <c r="R369" s="69">
        <f t="shared" si="151"/>
        <v>0</v>
      </c>
      <c r="S369" s="69">
        <f t="shared" si="151"/>
        <v>0</v>
      </c>
      <c r="T369" s="69">
        <f t="shared" si="151"/>
        <v>0</v>
      </c>
      <c r="U369" s="69">
        <f t="shared" si="151"/>
        <v>0</v>
      </c>
      <c r="V369" s="69">
        <f t="shared" si="151"/>
        <v>0</v>
      </c>
    </row>
    <row r="370" spans="1:22" s="80" customFormat="1" ht="38.25" customHeight="1" x14ac:dyDescent="0.2">
      <c r="A370" s="145"/>
      <c r="B370" s="145"/>
      <c r="C370" s="96" t="s">
        <v>13</v>
      </c>
      <c r="D370" s="69">
        <f t="shared" si="149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52">M375+M380</f>
        <v>0</v>
      </c>
      <c r="N370" s="69">
        <f t="shared" si="152"/>
        <v>0</v>
      </c>
      <c r="O370" s="69">
        <f t="shared" si="152"/>
        <v>0</v>
      </c>
      <c r="P370" s="75"/>
      <c r="Q370" s="75"/>
      <c r="R370" s="75"/>
      <c r="S370" s="75"/>
      <c r="T370" s="75"/>
      <c r="U370" s="75"/>
      <c r="V370" s="75"/>
    </row>
    <row r="371" spans="1:22" s="80" customFormat="1" ht="18.75" customHeight="1" x14ac:dyDescent="0.2">
      <c r="A371" s="143" t="s">
        <v>428</v>
      </c>
      <c r="B371" s="143" t="s">
        <v>413</v>
      </c>
      <c r="C371" s="101" t="s">
        <v>7</v>
      </c>
      <c r="D371" s="69">
        <f>SUM(D372:D375)</f>
        <v>3140000</v>
      </c>
      <c r="E371" s="69">
        <f t="shared" ref="E371:J371" si="153">SUM(E372:E375)</f>
        <v>0</v>
      </c>
      <c r="F371" s="69">
        <f t="shared" si="153"/>
        <v>0</v>
      </c>
      <c r="G371" s="69">
        <f t="shared" si="153"/>
        <v>0</v>
      </c>
      <c r="H371" s="69">
        <f t="shared" si="153"/>
        <v>0</v>
      </c>
      <c r="I371" s="69">
        <f t="shared" si="153"/>
        <v>0</v>
      </c>
      <c r="J371" s="69">
        <f t="shared" si="153"/>
        <v>0</v>
      </c>
      <c r="K371" s="69">
        <f>SUM(K372:K375)</f>
        <v>0</v>
      </c>
      <c r="L371" s="69">
        <f t="shared" ref="L371:O371" si="154">SUM(L372:L375)</f>
        <v>1000000</v>
      </c>
      <c r="M371" s="69">
        <f t="shared" si="154"/>
        <v>200000</v>
      </c>
      <c r="N371" s="69">
        <f t="shared" si="154"/>
        <v>1940000</v>
      </c>
      <c r="O371" s="69">
        <f t="shared" si="154"/>
        <v>0</v>
      </c>
      <c r="P371" s="75"/>
      <c r="Q371" s="75"/>
      <c r="R371" s="75"/>
      <c r="S371" s="75"/>
      <c r="T371" s="75"/>
      <c r="U371" s="75"/>
      <c r="V371" s="75"/>
    </row>
    <row r="372" spans="1:22" s="80" customFormat="1" ht="18.75" customHeight="1" x14ac:dyDescent="0.2">
      <c r="A372" s="144"/>
      <c r="B372" s="144"/>
      <c r="C372" s="96" t="s">
        <v>10</v>
      </c>
      <c r="D372" s="69">
        <f>SUM(E372:O372)</f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</row>
    <row r="373" spans="1:22" s="80" customFormat="1" ht="18.75" customHeight="1" x14ac:dyDescent="0.2">
      <c r="A373" s="144"/>
      <c r="B373" s="144"/>
      <c r="C373" s="96" t="s">
        <v>11</v>
      </c>
      <c r="D373" s="69">
        <f t="shared" ref="D373:D375" si="155">SUM(E373:O373)</f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</row>
    <row r="374" spans="1:22" s="80" customFormat="1" ht="18.75" customHeight="1" x14ac:dyDescent="0.2">
      <c r="A374" s="144"/>
      <c r="B374" s="144"/>
      <c r="C374" s="96" t="s">
        <v>12</v>
      </c>
      <c r="D374" s="69">
        <f t="shared" si="155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</row>
    <row r="375" spans="1:22" s="80" customFormat="1" ht="35.25" customHeight="1" x14ac:dyDescent="0.2">
      <c r="A375" s="145"/>
      <c r="B375" s="145"/>
      <c r="C375" s="96" t="s">
        <v>13</v>
      </c>
      <c r="D375" s="69">
        <f t="shared" si="155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</row>
    <row r="376" spans="1:22" s="80" customFormat="1" ht="18.75" customHeight="1" x14ac:dyDescent="0.2">
      <c r="A376" s="143" t="s">
        <v>429</v>
      </c>
      <c r="B376" s="143" t="s">
        <v>419</v>
      </c>
      <c r="C376" s="101" t="s">
        <v>7</v>
      </c>
      <c r="D376" s="69">
        <f>SUM(D377:D380)</f>
        <v>1254382.7</v>
      </c>
      <c r="E376" s="69">
        <f t="shared" ref="E376:J376" si="156">SUM(E377:E380)</f>
        <v>0</v>
      </c>
      <c r="F376" s="69">
        <f t="shared" si="156"/>
        <v>0</v>
      </c>
      <c r="G376" s="69">
        <f t="shared" si="156"/>
        <v>0</v>
      </c>
      <c r="H376" s="69">
        <f t="shared" si="156"/>
        <v>0</v>
      </c>
      <c r="I376" s="69">
        <f t="shared" si="156"/>
        <v>0</v>
      </c>
      <c r="J376" s="69">
        <f t="shared" si="156"/>
        <v>0</v>
      </c>
      <c r="K376" s="69">
        <f>SUM(K377:K380)</f>
        <v>0</v>
      </c>
      <c r="L376" s="69">
        <f t="shared" ref="L376:O376" si="157">SUM(L377:L380)</f>
        <v>44585.9</v>
      </c>
      <c r="M376" s="69">
        <f t="shared" si="157"/>
        <v>604898.4</v>
      </c>
      <c r="N376" s="69">
        <f t="shared" si="157"/>
        <v>604898.4</v>
      </c>
      <c r="O376" s="69">
        <f t="shared" si="157"/>
        <v>0</v>
      </c>
      <c r="P376" s="75"/>
      <c r="Q376" s="75"/>
      <c r="R376" s="75"/>
      <c r="S376" s="75"/>
      <c r="T376" s="75"/>
      <c r="U376" s="75"/>
      <c r="V376" s="75"/>
    </row>
    <row r="377" spans="1:22" s="80" customFormat="1" ht="18.75" customHeight="1" x14ac:dyDescent="0.2">
      <c r="A377" s="144"/>
      <c r="B377" s="144"/>
      <c r="C377" s="96" t="s">
        <v>10</v>
      </c>
      <c r="D377" s="69">
        <f>SUM(E377:O377)</f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</row>
    <row r="378" spans="1:22" s="80" customFormat="1" ht="18.75" customHeight="1" x14ac:dyDescent="0.2">
      <c r="A378" s="144"/>
      <c r="B378" s="144"/>
      <c r="C378" s="96" t="s">
        <v>11</v>
      </c>
      <c r="D378" s="69">
        <f t="shared" ref="D378:D380" si="158">SUM(E378:O378)</f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</row>
    <row r="379" spans="1:22" s="80" customFormat="1" ht="18.75" customHeight="1" x14ac:dyDescent="0.2">
      <c r="A379" s="144"/>
      <c r="B379" s="144"/>
      <c r="C379" s="96" t="s">
        <v>12</v>
      </c>
      <c r="D379" s="69">
        <f t="shared" si="158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</row>
    <row r="380" spans="1:22" s="80" customFormat="1" ht="18.75" customHeight="1" x14ac:dyDescent="0.2">
      <c r="A380" s="145"/>
      <c r="B380" s="145"/>
      <c r="C380" s="96" t="s">
        <v>13</v>
      </c>
      <c r="D380" s="69">
        <f t="shared" si="158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</row>
    <row r="381" spans="1:22" s="80" customFormat="1" ht="18.75" customHeight="1" x14ac:dyDescent="0.2">
      <c r="A381" s="143" t="s">
        <v>435</v>
      </c>
      <c r="B381" s="143" t="s">
        <v>436</v>
      </c>
      <c r="C381" s="101" t="s">
        <v>7</v>
      </c>
      <c r="D381" s="69">
        <f>SUM(D382:D385)</f>
        <v>18726.099999999999</v>
      </c>
      <c r="E381" s="69">
        <f t="shared" ref="E381:J381" si="159">SUM(E382:E385)</f>
        <v>0</v>
      </c>
      <c r="F381" s="69">
        <f t="shared" si="159"/>
        <v>0</v>
      </c>
      <c r="G381" s="69">
        <f t="shared" si="159"/>
        <v>0</v>
      </c>
      <c r="H381" s="69">
        <f t="shared" si="159"/>
        <v>0</v>
      </c>
      <c r="I381" s="69">
        <f t="shared" si="159"/>
        <v>0</v>
      </c>
      <c r="J381" s="69">
        <f t="shared" si="159"/>
        <v>0</v>
      </c>
      <c r="K381" s="69">
        <f>SUM(K382:K385)</f>
        <v>0</v>
      </c>
      <c r="L381" s="69">
        <f t="shared" ref="L381" si="160">SUM(L382:L385)</f>
        <v>4347.8</v>
      </c>
      <c r="M381" s="69">
        <f>SUM(M382:M385)</f>
        <v>4561.3999999999996</v>
      </c>
      <c r="N381" s="69">
        <f t="shared" ref="N381" si="161">SUM(N382:N385)</f>
        <v>4812.2</v>
      </c>
      <c r="O381" s="69">
        <f t="shared" ref="O381" si="162">SUM(O382:O385)</f>
        <v>5004.7</v>
      </c>
      <c r="P381" s="75"/>
      <c r="Q381" s="75"/>
      <c r="R381" s="75"/>
      <c r="S381" s="75"/>
      <c r="T381" s="75"/>
      <c r="U381" s="75"/>
      <c r="V381" s="75"/>
    </row>
    <row r="382" spans="1:22" s="80" customFormat="1" ht="18.75" customHeight="1" x14ac:dyDescent="0.2">
      <c r="A382" s="144"/>
      <c r="B382" s="144"/>
      <c r="C382" s="96" t="s">
        <v>10</v>
      </c>
      <c r="D382" s="69">
        <f>SUM(E382:O382)</f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</row>
    <row r="383" spans="1:22" s="80" customFormat="1" ht="18.75" customHeight="1" x14ac:dyDescent="0.2">
      <c r="A383" s="144"/>
      <c r="B383" s="144"/>
      <c r="C383" s="96" t="s">
        <v>11</v>
      </c>
      <c r="D383" s="69">
        <f t="shared" ref="D383:D385" si="163">SUM(E383:O383)</f>
        <v>17602.5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69">
        <v>4287.7</v>
      </c>
      <c r="N383" s="69">
        <v>4523.5</v>
      </c>
      <c r="O383" s="69">
        <v>4704.3999999999996</v>
      </c>
      <c r="P383" s="75"/>
      <c r="Q383" s="75"/>
      <c r="R383" s="75"/>
      <c r="S383" s="75"/>
      <c r="T383" s="75"/>
      <c r="U383" s="75"/>
      <c r="V383" s="75"/>
    </row>
    <row r="384" spans="1:22" s="80" customFormat="1" ht="18.75" customHeight="1" x14ac:dyDescent="0.2">
      <c r="A384" s="144"/>
      <c r="B384" s="144"/>
      <c r="C384" s="96" t="s">
        <v>12</v>
      </c>
      <c r="D384" s="69">
        <f t="shared" si="163"/>
        <v>1123.5999999999999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69">
        <f>273.7</f>
        <v>273.7</v>
      </c>
      <c r="N384" s="69">
        <v>288.7</v>
      </c>
      <c r="O384" s="69">
        <v>300.3</v>
      </c>
      <c r="P384" s="75"/>
      <c r="Q384" s="75"/>
      <c r="R384" s="75"/>
      <c r="S384" s="75"/>
      <c r="T384" s="75"/>
      <c r="U384" s="75"/>
      <c r="V384" s="75"/>
    </row>
    <row r="385" spans="1:22" s="80" customFormat="1" ht="39" customHeight="1" x14ac:dyDescent="0.2">
      <c r="A385" s="145"/>
      <c r="B385" s="145"/>
      <c r="C385" s="96" t="s">
        <v>13</v>
      </c>
      <c r="D385" s="69">
        <f t="shared" si="163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</row>
    <row r="386" spans="1:22" s="80" customFormat="1" ht="18.75" customHeight="1" x14ac:dyDescent="0.2">
      <c r="A386" s="143" t="s">
        <v>439</v>
      </c>
      <c r="B386" s="143" t="s">
        <v>440</v>
      </c>
      <c r="C386" s="101" t="s">
        <v>7</v>
      </c>
      <c r="D386" s="69">
        <f>SUM(D387:D390)</f>
        <v>122976.80000000002</v>
      </c>
      <c r="E386" s="69">
        <f t="shared" ref="E386:J386" si="164">SUM(E387:E390)</f>
        <v>0</v>
      </c>
      <c r="F386" s="69">
        <f t="shared" si="164"/>
        <v>0</v>
      </c>
      <c r="G386" s="69">
        <f t="shared" si="164"/>
        <v>0</v>
      </c>
      <c r="H386" s="69">
        <f t="shared" si="164"/>
        <v>0</v>
      </c>
      <c r="I386" s="69">
        <f t="shared" si="164"/>
        <v>0</v>
      </c>
      <c r="J386" s="69">
        <f t="shared" si="164"/>
        <v>0</v>
      </c>
      <c r="K386" s="69">
        <f>SUM(K387:K390)</f>
        <v>0</v>
      </c>
      <c r="L386" s="69">
        <f t="shared" ref="L386" si="165">SUM(L387:L390)</f>
        <v>3885.8</v>
      </c>
      <c r="M386" s="69">
        <f>SUM(M387:M390)</f>
        <v>28272.399999999998</v>
      </c>
      <c r="N386" s="69">
        <f t="shared" ref="N386:O386" si="166">SUM(N387:N390)</f>
        <v>47418.400000000001</v>
      </c>
      <c r="O386" s="69">
        <f t="shared" si="166"/>
        <v>43400.200000000004</v>
      </c>
      <c r="P386" s="75"/>
      <c r="Q386" s="75"/>
      <c r="R386" s="75"/>
      <c r="S386" s="75"/>
      <c r="T386" s="75"/>
      <c r="U386" s="75"/>
      <c r="V386" s="75"/>
    </row>
    <row r="387" spans="1:22" s="80" customFormat="1" ht="18.75" customHeight="1" x14ac:dyDescent="0.2">
      <c r="A387" s="144"/>
      <c r="B387" s="144"/>
      <c r="C387" s="96" t="s">
        <v>10</v>
      </c>
      <c r="D387" s="69">
        <f>SUM(E387:O387)</f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</row>
    <row r="388" spans="1:22" s="80" customFormat="1" ht="18.75" customHeight="1" x14ac:dyDescent="0.2">
      <c r="A388" s="144"/>
      <c r="B388" s="144"/>
      <c r="C388" s="96" t="s">
        <v>11</v>
      </c>
      <c r="D388" s="69">
        <f t="shared" ref="D388:D390" si="167">SUM(E388:O388)</f>
        <v>122976.80000000002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23833.1-630.7+5070</f>
        <v>28272.399999999998</v>
      </c>
      <c r="N388" s="69">
        <f>48714.9-1296.5</f>
        <v>47418.400000000001</v>
      </c>
      <c r="O388" s="69">
        <f>44585.8-1185.6</f>
        <v>43400.200000000004</v>
      </c>
      <c r="P388" s="75"/>
      <c r="Q388" s="75"/>
      <c r="R388" s="75"/>
      <c r="S388" s="75"/>
      <c r="T388" s="75"/>
      <c r="U388" s="75"/>
      <c r="V388" s="75"/>
    </row>
    <row r="389" spans="1:22" s="80" customFormat="1" ht="18.75" customHeight="1" x14ac:dyDescent="0.2">
      <c r="A389" s="144"/>
      <c r="B389" s="144"/>
      <c r="C389" s="96" t="s">
        <v>12</v>
      </c>
      <c r="D389" s="69">
        <f t="shared" si="167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</row>
    <row r="390" spans="1:22" s="80" customFormat="1" ht="30" customHeight="1" x14ac:dyDescent="0.2">
      <c r="A390" s="145"/>
      <c r="B390" s="145"/>
      <c r="C390" s="96" t="s">
        <v>13</v>
      </c>
      <c r="D390" s="69">
        <f t="shared" si="167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</row>
    <row r="391" spans="1:22" s="80" customFormat="1" ht="18.75" customHeight="1" x14ac:dyDescent="0.2">
      <c r="A391" s="143" t="s">
        <v>446</v>
      </c>
      <c r="B391" s="143" t="s">
        <v>447</v>
      </c>
      <c r="C391" s="101" t="s">
        <v>7</v>
      </c>
      <c r="D391" s="69">
        <f>SUM(D392:D395)</f>
        <v>2599.5</v>
      </c>
      <c r="E391" s="69">
        <f t="shared" ref="E391:J391" si="168">SUM(E392:E395)</f>
        <v>0</v>
      </c>
      <c r="F391" s="69">
        <f t="shared" si="168"/>
        <v>0</v>
      </c>
      <c r="G391" s="69">
        <f t="shared" si="168"/>
        <v>0</v>
      </c>
      <c r="H391" s="69">
        <f t="shared" si="168"/>
        <v>0</v>
      </c>
      <c r="I391" s="69">
        <f t="shared" si="168"/>
        <v>0</v>
      </c>
      <c r="J391" s="69">
        <f t="shared" si="168"/>
        <v>0</v>
      </c>
      <c r="K391" s="69">
        <f>SUM(K392:K395)</f>
        <v>0</v>
      </c>
      <c r="L391" s="69">
        <f t="shared" ref="L391" si="169">SUM(L392:L395)</f>
        <v>0</v>
      </c>
      <c r="M391" s="69">
        <f>SUM(M392:M395)</f>
        <v>2599.5</v>
      </c>
      <c r="N391" s="69">
        <f t="shared" ref="N391:O391" si="170">SUM(N392:N395)</f>
        <v>0</v>
      </c>
      <c r="O391" s="69">
        <f t="shared" si="170"/>
        <v>0</v>
      </c>
      <c r="P391" s="75"/>
      <c r="Q391" s="75"/>
      <c r="R391" s="75"/>
      <c r="S391" s="75"/>
      <c r="T391" s="75"/>
      <c r="U391" s="75"/>
      <c r="V391" s="75"/>
    </row>
    <row r="392" spans="1:22" s="80" customFormat="1" ht="18.75" customHeight="1" x14ac:dyDescent="0.2">
      <c r="A392" s="144"/>
      <c r="B392" s="144"/>
      <c r="C392" s="96" t="s">
        <v>10</v>
      </c>
      <c r="D392" s="69">
        <f>SUM(E392:O392)</f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</row>
    <row r="393" spans="1:22" s="80" customFormat="1" ht="18.75" customHeight="1" x14ac:dyDescent="0.2">
      <c r="A393" s="144"/>
      <c r="B393" s="144"/>
      <c r="C393" s="96" t="s">
        <v>11</v>
      </c>
      <c r="D393" s="69">
        <f t="shared" ref="D393:D395" si="171">SUM(E393:O393)</f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</row>
    <row r="394" spans="1:22" s="80" customFormat="1" ht="18.75" customHeight="1" x14ac:dyDescent="0.2">
      <c r="A394" s="144"/>
      <c r="B394" s="144"/>
      <c r="C394" s="96" t="s">
        <v>12</v>
      </c>
      <c r="D394" s="69">
        <f t="shared" si="171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</row>
    <row r="395" spans="1:22" s="80" customFormat="1" ht="18.75" customHeight="1" x14ac:dyDescent="0.2">
      <c r="A395" s="145"/>
      <c r="B395" s="145"/>
      <c r="C395" s="96" t="s">
        <v>13</v>
      </c>
      <c r="D395" s="69">
        <f t="shared" si="171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</row>
    <row r="396" spans="1:22" s="80" customFormat="1" ht="18.75" hidden="1" customHeight="1" x14ac:dyDescent="0.2">
      <c r="A396" s="143"/>
      <c r="B396" s="143" t="s">
        <v>452</v>
      </c>
      <c r="C396" s="101" t="s">
        <v>7</v>
      </c>
      <c r="D396" s="69">
        <f>SUM(D397:D400)</f>
        <v>0</v>
      </c>
      <c r="E396" s="69">
        <f t="shared" ref="E396:J396" si="172">SUM(E397:E400)</f>
        <v>0</v>
      </c>
      <c r="F396" s="69">
        <f t="shared" si="172"/>
        <v>0</v>
      </c>
      <c r="G396" s="69">
        <f t="shared" si="172"/>
        <v>0</v>
      </c>
      <c r="H396" s="69">
        <f t="shared" si="172"/>
        <v>0</v>
      </c>
      <c r="I396" s="69">
        <f t="shared" si="172"/>
        <v>0</v>
      </c>
      <c r="J396" s="69">
        <f t="shared" si="172"/>
        <v>0</v>
      </c>
      <c r="K396" s="69">
        <f>SUM(K397:K400)</f>
        <v>0</v>
      </c>
      <c r="L396" s="69">
        <f t="shared" ref="L396" si="173">SUM(L397:L400)</f>
        <v>0</v>
      </c>
      <c r="M396" s="69">
        <f>SUM(M397:M400)</f>
        <v>0</v>
      </c>
      <c r="N396" s="69">
        <f t="shared" ref="N396:O396" si="174">SUM(N397:N400)</f>
        <v>0</v>
      </c>
      <c r="O396" s="69">
        <f t="shared" si="174"/>
        <v>0</v>
      </c>
      <c r="P396" s="75"/>
      <c r="Q396" s="75"/>
      <c r="R396" s="75"/>
      <c r="S396" s="75"/>
      <c r="T396" s="75"/>
      <c r="U396" s="75"/>
      <c r="V396" s="75"/>
    </row>
    <row r="397" spans="1:22" s="80" customFormat="1" ht="18.75" hidden="1" customHeight="1" x14ac:dyDescent="0.2">
      <c r="A397" s="144"/>
      <c r="B397" s="144"/>
      <c r="C397" s="96" t="s">
        <v>10</v>
      </c>
      <c r="D397" s="69">
        <f>SUM(E397:O397)</f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</row>
    <row r="398" spans="1:22" s="80" customFormat="1" ht="18.75" hidden="1" customHeight="1" x14ac:dyDescent="0.2">
      <c r="A398" s="144"/>
      <c r="B398" s="144"/>
      <c r="C398" s="96" t="s">
        <v>11</v>
      </c>
      <c r="D398" s="69">
        <f t="shared" ref="D398:D400" si="175">SUM(E398:O398)</f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</row>
    <row r="399" spans="1:22" s="80" customFormat="1" ht="18.75" hidden="1" customHeight="1" x14ac:dyDescent="0.2">
      <c r="A399" s="144"/>
      <c r="B399" s="144"/>
      <c r="C399" s="96" t="s">
        <v>12</v>
      </c>
      <c r="D399" s="69">
        <f t="shared" si="175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</row>
    <row r="400" spans="1:22" s="80" customFormat="1" ht="18.75" hidden="1" customHeight="1" x14ac:dyDescent="0.2">
      <c r="A400" s="145"/>
      <c r="B400" s="145"/>
      <c r="C400" s="96" t="s">
        <v>13</v>
      </c>
      <c r="D400" s="69">
        <f t="shared" si="175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</row>
    <row r="401" spans="1:22" s="80" customFormat="1" ht="18.75" customHeight="1" x14ac:dyDescent="0.2">
      <c r="A401" s="138" t="s">
        <v>451</v>
      </c>
      <c r="B401" s="138" t="s">
        <v>453</v>
      </c>
      <c r="C401" s="101" t="s">
        <v>7</v>
      </c>
      <c r="D401" s="69">
        <f t="shared" ref="D401:D402" si="176">E401+F401+G401+H401+I401+J401+K401+L401+M401+N401+O401</f>
        <v>599</v>
      </c>
      <c r="E401" s="69">
        <f>E402+E403+E404+E405</f>
        <v>0</v>
      </c>
      <c r="F401" s="69">
        <f t="shared" ref="F401:O401" si="177">F402+F403+F404+F405</f>
        <v>0</v>
      </c>
      <c r="G401" s="69">
        <f t="shared" si="177"/>
        <v>0</v>
      </c>
      <c r="H401" s="69">
        <f t="shared" si="177"/>
        <v>0</v>
      </c>
      <c r="I401" s="69">
        <f t="shared" si="177"/>
        <v>0</v>
      </c>
      <c r="J401" s="69">
        <f t="shared" si="177"/>
        <v>0</v>
      </c>
      <c r="K401" s="69">
        <f t="shared" si="177"/>
        <v>0</v>
      </c>
      <c r="L401" s="69">
        <f t="shared" si="177"/>
        <v>0</v>
      </c>
      <c r="M401" s="69">
        <f t="shared" si="177"/>
        <v>599</v>
      </c>
      <c r="N401" s="69">
        <f t="shared" si="177"/>
        <v>0</v>
      </c>
      <c r="O401" s="69">
        <f t="shared" si="177"/>
        <v>0</v>
      </c>
      <c r="P401" s="75"/>
      <c r="Q401" s="75"/>
      <c r="R401" s="75"/>
      <c r="S401" s="75"/>
      <c r="T401" s="75"/>
      <c r="U401" s="75"/>
      <c r="V401" s="75"/>
    </row>
    <row r="402" spans="1:22" s="80" customFormat="1" ht="18.75" customHeight="1" x14ac:dyDescent="0.2">
      <c r="A402" s="139"/>
      <c r="B402" s="138"/>
      <c r="C402" s="96" t="s">
        <v>10</v>
      </c>
      <c r="D402" s="69">
        <f t="shared" si="176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</row>
    <row r="403" spans="1:22" s="80" customFormat="1" ht="18.75" customHeight="1" x14ac:dyDescent="0.2">
      <c r="A403" s="139"/>
      <c r="B403" s="138"/>
      <c r="C403" s="96" t="s">
        <v>11</v>
      </c>
      <c r="D403" s="69">
        <f>E403+F403+G403+H403+I403+J403+K403+L403+M403+N403+O403</f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</row>
    <row r="404" spans="1:22" s="80" customFormat="1" ht="18.75" customHeight="1" x14ac:dyDescent="0.2">
      <c r="A404" s="139"/>
      <c r="B404" s="138"/>
      <c r="C404" s="96" t="s">
        <v>12</v>
      </c>
      <c r="D404" s="69">
        <f t="shared" ref="D404:D407" si="178">E404+F404+G404+H404+I404+J404+K404+L404+M404+N404+O404</f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</row>
    <row r="405" spans="1:22" s="80" customFormat="1" ht="18.75" customHeight="1" x14ac:dyDescent="0.2">
      <c r="A405" s="139"/>
      <c r="B405" s="138"/>
      <c r="C405" s="96" t="s">
        <v>13</v>
      </c>
      <c r="D405" s="69">
        <f t="shared" si="178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</row>
    <row r="406" spans="1:22" s="80" customFormat="1" ht="18.75" customHeight="1" x14ac:dyDescent="0.2">
      <c r="A406" s="138" t="s">
        <v>454</v>
      </c>
      <c r="B406" s="138" t="s">
        <v>455</v>
      </c>
      <c r="C406" s="101" t="s">
        <v>7</v>
      </c>
      <c r="D406" s="69">
        <f t="shared" si="178"/>
        <v>916.4</v>
      </c>
      <c r="E406" s="69">
        <f>E407+E408+E409+E410</f>
        <v>0</v>
      </c>
      <c r="F406" s="69">
        <f t="shared" ref="F406:O406" si="179">F407+F408+F409+F410</f>
        <v>0</v>
      </c>
      <c r="G406" s="69">
        <f t="shared" si="179"/>
        <v>0</v>
      </c>
      <c r="H406" s="69">
        <f t="shared" si="179"/>
        <v>0</v>
      </c>
      <c r="I406" s="69">
        <f t="shared" si="179"/>
        <v>0</v>
      </c>
      <c r="J406" s="69">
        <f t="shared" si="179"/>
        <v>0</v>
      </c>
      <c r="K406" s="69">
        <f t="shared" si="179"/>
        <v>0</v>
      </c>
      <c r="L406" s="69">
        <f t="shared" si="179"/>
        <v>0</v>
      </c>
      <c r="M406" s="69">
        <f t="shared" si="179"/>
        <v>916.4</v>
      </c>
      <c r="N406" s="69">
        <f t="shared" si="179"/>
        <v>0</v>
      </c>
      <c r="O406" s="69">
        <f t="shared" si="179"/>
        <v>0</v>
      </c>
      <c r="P406" s="75"/>
      <c r="Q406" s="75"/>
      <c r="R406" s="75"/>
      <c r="S406" s="75"/>
      <c r="T406" s="75"/>
      <c r="U406" s="75"/>
      <c r="V406" s="75"/>
    </row>
    <row r="407" spans="1:22" s="80" customFormat="1" ht="18.75" customHeight="1" x14ac:dyDescent="0.2">
      <c r="A407" s="139"/>
      <c r="B407" s="138"/>
      <c r="C407" s="96" t="s">
        <v>10</v>
      </c>
      <c r="D407" s="69">
        <f t="shared" si="178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</row>
    <row r="408" spans="1:22" s="80" customFormat="1" ht="18.75" customHeight="1" x14ac:dyDescent="0.2">
      <c r="A408" s="139"/>
      <c r="B408" s="138"/>
      <c r="C408" s="96" t="s">
        <v>11</v>
      </c>
      <c r="D408" s="69">
        <f>E408+F408+G408+H408+I408+J408+K408+L408+M408+N408+O408</f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</row>
    <row r="409" spans="1:22" s="80" customFormat="1" ht="18.75" customHeight="1" x14ac:dyDescent="0.2">
      <c r="A409" s="139"/>
      <c r="B409" s="138"/>
      <c r="C409" s="96" t="s">
        <v>12</v>
      </c>
      <c r="D409" s="69">
        <f t="shared" ref="D409:D412" si="180">E409+F409+G409+H409+I409+J409+K409+L409+M409+N409+O409</f>
        <v>916.4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v>916.4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</row>
    <row r="410" spans="1:22" s="80" customFormat="1" ht="18.75" customHeight="1" x14ac:dyDescent="0.2">
      <c r="A410" s="139"/>
      <c r="B410" s="138"/>
      <c r="C410" s="96" t="s">
        <v>13</v>
      </c>
      <c r="D410" s="69">
        <f t="shared" si="180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</row>
    <row r="411" spans="1:22" s="80" customFormat="1" ht="18.75" customHeight="1" x14ac:dyDescent="0.2">
      <c r="A411" s="138" t="s">
        <v>457</v>
      </c>
      <c r="B411" s="138" t="s">
        <v>458</v>
      </c>
      <c r="C411" s="101" t="s">
        <v>7</v>
      </c>
      <c r="D411" s="69">
        <f t="shared" si="180"/>
        <v>20000</v>
      </c>
      <c r="E411" s="69">
        <f>E412+E413+E414+E415</f>
        <v>0</v>
      </c>
      <c r="F411" s="69">
        <f t="shared" ref="F411:O411" si="181">F412+F413+F414+F415</f>
        <v>0</v>
      </c>
      <c r="G411" s="69">
        <f t="shared" si="181"/>
        <v>0</v>
      </c>
      <c r="H411" s="69">
        <f t="shared" si="181"/>
        <v>0</v>
      </c>
      <c r="I411" s="69">
        <f t="shared" si="181"/>
        <v>0</v>
      </c>
      <c r="J411" s="69">
        <f t="shared" si="181"/>
        <v>0</v>
      </c>
      <c r="K411" s="69">
        <f t="shared" si="181"/>
        <v>0</v>
      </c>
      <c r="L411" s="69">
        <f t="shared" si="181"/>
        <v>0</v>
      </c>
      <c r="M411" s="69">
        <f t="shared" si="181"/>
        <v>6000</v>
      </c>
      <c r="N411" s="69">
        <f>N418</f>
        <v>14000</v>
      </c>
      <c r="O411" s="69">
        <f t="shared" si="181"/>
        <v>0</v>
      </c>
      <c r="P411" s="75"/>
      <c r="Q411" s="75"/>
      <c r="R411" s="75"/>
      <c r="S411" s="75"/>
      <c r="T411" s="75"/>
      <c r="U411" s="75"/>
      <c r="V411" s="75"/>
    </row>
    <row r="412" spans="1:22" s="80" customFormat="1" ht="18.75" customHeight="1" x14ac:dyDescent="0.2">
      <c r="A412" s="139"/>
      <c r="B412" s="138"/>
      <c r="C412" s="96" t="s">
        <v>10</v>
      </c>
      <c r="D412" s="69">
        <f t="shared" si="180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</row>
    <row r="413" spans="1:22" s="80" customFormat="1" ht="18.75" customHeight="1" x14ac:dyDescent="0.2">
      <c r="A413" s="139"/>
      <c r="B413" s="138"/>
      <c r="C413" s="96" t="s">
        <v>11</v>
      </c>
      <c r="D413" s="69">
        <f>E413+F413+G413+H413+I413+J413+K413+L413+M413+N413+O413</f>
        <v>20000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14000</v>
      </c>
      <c r="O413" s="69">
        <v>0</v>
      </c>
      <c r="P413" s="75"/>
      <c r="Q413" s="75"/>
      <c r="R413" s="75"/>
      <c r="S413" s="75"/>
      <c r="T413" s="75"/>
      <c r="U413" s="75"/>
      <c r="V413" s="75"/>
    </row>
    <row r="414" spans="1:22" s="80" customFormat="1" ht="18.75" customHeight="1" x14ac:dyDescent="0.2">
      <c r="A414" s="139"/>
      <c r="B414" s="138"/>
      <c r="C414" s="96" t="s">
        <v>12</v>
      </c>
      <c r="D414" s="69">
        <f t="shared" ref="D414:D417" si="182">E414+F414+G414+H414+I414+J414+K414+L414+M414+N414+O414</f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</row>
    <row r="415" spans="1:22" s="80" customFormat="1" ht="18.75" customHeight="1" x14ac:dyDescent="0.2">
      <c r="A415" s="139"/>
      <c r="B415" s="138"/>
      <c r="C415" s="96" t="s">
        <v>13</v>
      </c>
      <c r="D415" s="69">
        <f t="shared" si="182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</row>
    <row r="416" spans="1:22" s="80" customFormat="1" ht="18.75" customHeight="1" x14ac:dyDescent="0.2">
      <c r="A416" s="138" t="s">
        <v>460</v>
      </c>
      <c r="B416" s="138" t="s">
        <v>459</v>
      </c>
      <c r="C416" s="101" t="s">
        <v>7</v>
      </c>
      <c r="D416" s="69">
        <f t="shared" si="182"/>
        <v>20000</v>
      </c>
      <c r="E416" s="69">
        <f>E417+E418+E419+E420</f>
        <v>0</v>
      </c>
      <c r="F416" s="69">
        <f t="shared" ref="F416:O416" si="183">F417+F418+F419+F420</f>
        <v>0</v>
      </c>
      <c r="G416" s="69">
        <f t="shared" si="183"/>
        <v>0</v>
      </c>
      <c r="H416" s="69">
        <f t="shared" si="183"/>
        <v>0</v>
      </c>
      <c r="I416" s="69">
        <f t="shared" si="183"/>
        <v>0</v>
      </c>
      <c r="J416" s="69">
        <f t="shared" si="183"/>
        <v>0</v>
      </c>
      <c r="K416" s="69">
        <f t="shared" si="183"/>
        <v>0</v>
      </c>
      <c r="L416" s="69">
        <f t="shared" si="183"/>
        <v>0</v>
      </c>
      <c r="M416" s="69">
        <f t="shared" si="183"/>
        <v>6000</v>
      </c>
      <c r="N416" s="69">
        <f t="shared" si="183"/>
        <v>14000</v>
      </c>
      <c r="O416" s="69">
        <f t="shared" si="183"/>
        <v>0</v>
      </c>
      <c r="P416" s="75"/>
      <c r="Q416" s="75"/>
      <c r="R416" s="75"/>
      <c r="S416" s="75"/>
      <c r="T416" s="75"/>
      <c r="U416" s="75"/>
      <c r="V416" s="75"/>
    </row>
    <row r="417" spans="1:25" s="80" customFormat="1" ht="18.75" customHeight="1" x14ac:dyDescent="0.2">
      <c r="A417" s="139"/>
      <c r="B417" s="138"/>
      <c r="C417" s="96" t="s">
        <v>10</v>
      </c>
      <c r="D417" s="69">
        <f t="shared" si="182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</row>
    <row r="418" spans="1:25" s="80" customFormat="1" ht="18.75" customHeight="1" x14ac:dyDescent="0.2">
      <c r="A418" s="139"/>
      <c r="B418" s="138"/>
      <c r="C418" s="96" t="s">
        <v>11</v>
      </c>
      <c r="D418" s="69">
        <f>E418+F418+G418+H418+I418+J418+K418+L418+M418+N418+O418</f>
        <v>20000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69">
        <v>14000</v>
      </c>
      <c r="O418" s="69">
        <v>0</v>
      </c>
      <c r="P418" s="75"/>
      <c r="Q418" s="75"/>
      <c r="R418" s="75"/>
      <c r="S418" s="75"/>
      <c r="T418" s="75"/>
      <c r="U418" s="75"/>
      <c r="V418" s="75"/>
    </row>
    <row r="419" spans="1:25" s="80" customFormat="1" ht="18.75" customHeight="1" x14ac:dyDescent="0.2">
      <c r="A419" s="139"/>
      <c r="B419" s="138"/>
      <c r="C419" s="96" t="s">
        <v>12</v>
      </c>
      <c r="D419" s="69">
        <f t="shared" ref="D419:D420" si="184">E419+F419+G419+H419+I419+J419+K419+L419+M419+N419+O419</f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</row>
    <row r="420" spans="1:25" s="80" customFormat="1" ht="18.75" customHeight="1" x14ac:dyDescent="0.2">
      <c r="A420" s="139"/>
      <c r="B420" s="138"/>
      <c r="C420" s="96" t="s">
        <v>13</v>
      </c>
      <c r="D420" s="69">
        <f t="shared" si="184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</row>
    <row r="421" spans="1:25" ht="15.75" x14ac:dyDescent="0.2">
      <c r="A421" s="138" t="s">
        <v>145</v>
      </c>
      <c r="B421" s="147" t="s">
        <v>445</v>
      </c>
      <c r="C421" s="101" t="s">
        <v>7</v>
      </c>
      <c r="D421" s="69">
        <f>D422+D423+D424+D425</f>
        <v>226607</v>
      </c>
      <c r="E421" s="69">
        <f>E422+E423+E424+E425</f>
        <v>24704.6</v>
      </c>
      <c r="F421" s="69">
        <f t="shared" ref="F421:O421" si="185">F422+F423+F424+F425</f>
        <v>23418.400000000001</v>
      </c>
      <c r="G421" s="69">
        <f t="shared" si="185"/>
        <v>28089.699999999997</v>
      </c>
      <c r="H421" s="69">
        <f t="shared" si="185"/>
        <v>23411.7</v>
      </c>
      <c r="I421" s="69">
        <f t="shared" si="185"/>
        <v>24700.5</v>
      </c>
      <c r="J421" s="69">
        <f t="shared" si="185"/>
        <v>23045.699999999997</v>
      </c>
      <c r="K421" s="69">
        <f t="shared" si="185"/>
        <v>23013.5</v>
      </c>
      <c r="L421" s="69">
        <f t="shared" si="185"/>
        <v>17844</v>
      </c>
      <c r="M421" s="69">
        <f t="shared" si="185"/>
        <v>14770</v>
      </c>
      <c r="N421" s="69">
        <f t="shared" si="185"/>
        <v>12043.5</v>
      </c>
      <c r="O421" s="69">
        <f t="shared" si="185"/>
        <v>11565.4</v>
      </c>
    </row>
    <row r="422" spans="1:25" ht="16.5" customHeight="1" x14ac:dyDescent="0.2">
      <c r="A422" s="138"/>
      <c r="B422" s="147"/>
      <c r="C422" s="101" t="s">
        <v>10</v>
      </c>
      <c r="D422" s="69">
        <f t="shared" ref="D422:D472" si="186">E422+F422+G422+H422+I422+J422+K422+L422+M422+N422+O422</f>
        <v>0</v>
      </c>
      <c r="E422" s="69">
        <f>E427+E437+E447</f>
        <v>0</v>
      </c>
      <c r="F422" s="69">
        <f t="shared" ref="F422:O422" si="187">F427+F437+F447</f>
        <v>0</v>
      </c>
      <c r="G422" s="69">
        <f t="shared" si="187"/>
        <v>0</v>
      </c>
      <c r="H422" s="69">
        <f t="shared" si="187"/>
        <v>0</v>
      </c>
      <c r="I422" s="69">
        <f t="shared" si="187"/>
        <v>0</v>
      </c>
      <c r="J422" s="69">
        <f t="shared" si="187"/>
        <v>0</v>
      </c>
      <c r="K422" s="69">
        <f t="shared" si="187"/>
        <v>0</v>
      </c>
      <c r="L422" s="69">
        <f t="shared" si="187"/>
        <v>0</v>
      </c>
      <c r="M422" s="69">
        <f t="shared" si="187"/>
        <v>0</v>
      </c>
      <c r="N422" s="69">
        <f t="shared" si="187"/>
        <v>0</v>
      </c>
      <c r="O422" s="69">
        <f t="shared" si="187"/>
        <v>0</v>
      </c>
      <c r="P422" s="60"/>
      <c r="Q422" s="60"/>
    </row>
    <row r="423" spans="1:25" ht="18" customHeight="1" x14ac:dyDescent="0.2">
      <c r="A423" s="138"/>
      <c r="B423" s="147"/>
      <c r="C423" s="101" t="s">
        <v>11</v>
      </c>
      <c r="D423" s="69">
        <f t="shared" si="186"/>
        <v>23608.400000000001</v>
      </c>
      <c r="E423" s="69">
        <f>E428+E433+E438+E443+E448</f>
        <v>0</v>
      </c>
      <c r="F423" s="69">
        <f t="shared" ref="F423:O423" si="188">F428+F433+F438+F443+F448</f>
        <v>0</v>
      </c>
      <c r="G423" s="69">
        <f t="shared" si="188"/>
        <v>0</v>
      </c>
      <c r="H423" s="69">
        <f t="shared" si="188"/>
        <v>0</v>
      </c>
      <c r="I423" s="69">
        <f t="shared" si="188"/>
        <v>16106.5</v>
      </c>
      <c r="J423" s="69">
        <f>J428+J433+J438+J443+J448</f>
        <v>7501.9</v>
      </c>
      <c r="K423" s="69">
        <f t="shared" si="188"/>
        <v>0</v>
      </c>
      <c r="L423" s="69">
        <f t="shared" si="188"/>
        <v>0</v>
      </c>
      <c r="M423" s="69">
        <f t="shared" si="188"/>
        <v>0</v>
      </c>
      <c r="N423" s="69">
        <f t="shared" si="188"/>
        <v>0</v>
      </c>
      <c r="O423" s="69">
        <f t="shared" si="188"/>
        <v>0</v>
      </c>
    </row>
    <row r="424" spans="1:25" ht="18" customHeight="1" x14ac:dyDescent="0.2">
      <c r="A424" s="138"/>
      <c r="B424" s="147"/>
      <c r="C424" s="101" t="s">
        <v>12</v>
      </c>
      <c r="D424" s="69">
        <f t="shared" si="186"/>
        <v>202998.6</v>
      </c>
      <c r="E424" s="69">
        <f>E429+E439+E449+E454+E434+E444</f>
        <v>24704.6</v>
      </c>
      <c r="F424" s="69">
        <f t="shared" ref="F424:I424" si="189">F429+F439+F449+F454+F434+F444</f>
        <v>23418.400000000001</v>
      </c>
      <c r="G424" s="69">
        <f t="shared" si="189"/>
        <v>28089.699999999997</v>
      </c>
      <c r="H424" s="69">
        <f t="shared" si="189"/>
        <v>23411.7</v>
      </c>
      <c r="I424" s="69">
        <f t="shared" si="189"/>
        <v>8594</v>
      </c>
      <c r="J424" s="69">
        <f>J429+J439+J449+J454+J434+J444</f>
        <v>15543.8</v>
      </c>
      <c r="K424" s="69">
        <f>K429+K439+K449+K454+K434+K444+K459</f>
        <v>23013.5</v>
      </c>
      <c r="L424" s="69">
        <f t="shared" ref="L424" si="190">L429+L439+L449+L454+L434+L444+L459</f>
        <v>17844</v>
      </c>
      <c r="M424" s="69">
        <f>M429+M439+M449+M454+M434+M444+M459+M464</f>
        <v>14770</v>
      </c>
      <c r="N424" s="69">
        <f t="shared" ref="N424:O424" si="191">N429+N439+N449+N454+N434+N444+N459+N464</f>
        <v>12043.5</v>
      </c>
      <c r="O424" s="69">
        <f t="shared" si="191"/>
        <v>11565.4</v>
      </c>
    </row>
    <row r="425" spans="1:25" ht="18" customHeight="1" x14ac:dyDescent="0.2">
      <c r="A425" s="138"/>
      <c r="B425" s="147"/>
      <c r="C425" s="101" t="s">
        <v>13</v>
      </c>
      <c r="D425" s="69">
        <f t="shared" si="186"/>
        <v>0</v>
      </c>
      <c r="E425" s="69">
        <f>E430+E440+E450</f>
        <v>0</v>
      </c>
      <c r="F425" s="69">
        <f t="shared" ref="F425:O425" si="192">F430+F440+F450</f>
        <v>0</v>
      </c>
      <c r="G425" s="69">
        <f t="shared" si="192"/>
        <v>0</v>
      </c>
      <c r="H425" s="69">
        <f t="shared" si="192"/>
        <v>0</v>
      </c>
      <c r="I425" s="69">
        <f t="shared" si="192"/>
        <v>0</v>
      </c>
      <c r="J425" s="69">
        <f t="shared" si="192"/>
        <v>0</v>
      </c>
      <c r="K425" s="69">
        <f t="shared" si="192"/>
        <v>0</v>
      </c>
      <c r="L425" s="69">
        <f t="shared" si="192"/>
        <v>0</v>
      </c>
      <c r="M425" s="69">
        <f t="shared" si="192"/>
        <v>0</v>
      </c>
      <c r="N425" s="69">
        <f t="shared" si="192"/>
        <v>0</v>
      </c>
      <c r="O425" s="69">
        <f t="shared" si="192"/>
        <v>0</v>
      </c>
    </row>
    <row r="426" spans="1:25" ht="15.75" x14ac:dyDescent="0.2">
      <c r="A426" s="138" t="s">
        <v>146</v>
      </c>
      <c r="B426" s="147" t="s">
        <v>52</v>
      </c>
      <c r="C426" s="101" t="s">
        <v>7</v>
      </c>
      <c r="D426" s="69">
        <f t="shared" si="186"/>
        <v>92626.5</v>
      </c>
      <c r="E426" s="69">
        <f t="shared" ref="E426:O426" si="193">E427+E428+E429+E430</f>
        <v>5089.5</v>
      </c>
      <c r="F426" s="69">
        <f t="shared" si="193"/>
        <v>6465</v>
      </c>
      <c r="G426" s="69">
        <f t="shared" si="193"/>
        <v>8661.7999999999993</v>
      </c>
      <c r="H426" s="69">
        <f t="shared" si="193"/>
        <v>9358.2000000000007</v>
      </c>
      <c r="I426" s="69">
        <f t="shared" si="193"/>
        <v>8594</v>
      </c>
      <c r="J426" s="69">
        <f>J427+J428+J429+J430</f>
        <v>7198.9000000000005</v>
      </c>
      <c r="K426" s="69">
        <f t="shared" si="193"/>
        <v>12364.6</v>
      </c>
      <c r="L426" s="69">
        <f t="shared" si="193"/>
        <v>10751.5</v>
      </c>
      <c r="M426" s="69">
        <f t="shared" si="193"/>
        <v>9806.5</v>
      </c>
      <c r="N426" s="69">
        <f t="shared" si="193"/>
        <v>7372.8</v>
      </c>
      <c r="O426" s="69">
        <f t="shared" si="193"/>
        <v>6963.6999999999989</v>
      </c>
    </row>
    <row r="427" spans="1:25" ht="15.75" x14ac:dyDescent="0.2">
      <c r="A427" s="138"/>
      <c r="B427" s="147"/>
      <c r="C427" s="101" t="s">
        <v>10</v>
      </c>
      <c r="D427" s="69">
        <f t="shared" si="186"/>
        <v>0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0</v>
      </c>
      <c r="N427" s="69">
        <v>0</v>
      </c>
      <c r="O427" s="69">
        <v>0</v>
      </c>
    </row>
    <row r="428" spans="1:25" ht="15.75" x14ac:dyDescent="0.2">
      <c r="A428" s="138"/>
      <c r="B428" s="147"/>
      <c r="C428" s="101" t="s">
        <v>11</v>
      </c>
      <c r="D428" s="69">
        <f t="shared" si="186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</row>
    <row r="429" spans="1:25" ht="15.75" x14ac:dyDescent="0.2">
      <c r="A429" s="138"/>
      <c r="B429" s="147"/>
      <c r="C429" s="101" t="s">
        <v>12</v>
      </c>
      <c r="D429" s="69">
        <f t="shared" si="186"/>
        <v>92626.5</v>
      </c>
      <c r="E429" s="69">
        <v>5089.5</v>
      </c>
      <c r="F429" s="69">
        <v>6465</v>
      </c>
      <c r="G429" s="69">
        <v>8661.7999999999993</v>
      </c>
      <c r="H429" s="69">
        <v>9358.2000000000007</v>
      </c>
      <c r="I429" s="69">
        <v>8594</v>
      </c>
      <c r="J429" s="69">
        <f>2886.8+1860.3+2451.8</f>
        <v>7198.9000000000005</v>
      </c>
      <c r="K429" s="69">
        <f>8859.6+1000+555+1950</f>
        <v>12364.6</v>
      </c>
      <c r="L429" s="69">
        <f>5576.5+2175+1500+1500</f>
        <v>10751.5</v>
      </c>
      <c r="M429" s="69">
        <f>5913.1+343.4+650+400+2500</f>
        <v>9806.5</v>
      </c>
      <c r="N429" s="69">
        <f>5942+1430.8</f>
        <v>7372.8</v>
      </c>
      <c r="O429" s="69">
        <f>10976.3-3712.3-300.3</f>
        <v>6963.6999999999989</v>
      </c>
      <c r="W429" s="60"/>
      <c r="X429" s="60"/>
      <c r="Y429" s="60"/>
    </row>
    <row r="430" spans="1:25" ht="15.75" x14ac:dyDescent="0.2">
      <c r="A430" s="138"/>
      <c r="B430" s="147"/>
      <c r="C430" s="96" t="s">
        <v>13</v>
      </c>
      <c r="D430" s="69">
        <f t="shared" si="186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</row>
    <row r="431" spans="1:25" ht="15.75" x14ac:dyDescent="0.2">
      <c r="A431" s="138" t="s">
        <v>147</v>
      </c>
      <c r="B431" s="147" t="s">
        <v>365</v>
      </c>
      <c r="C431" s="101" t="s">
        <v>7</v>
      </c>
      <c r="D431" s="69">
        <f t="shared" si="186"/>
        <v>11065.3</v>
      </c>
      <c r="E431" s="69">
        <f t="shared" ref="E431:O431" si="194">E432+E433+E434+E435</f>
        <v>0</v>
      </c>
      <c r="F431" s="69">
        <f t="shared" si="194"/>
        <v>0</v>
      </c>
      <c r="G431" s="69">
        <f t="shared" si="194"/>
        <v>0</v>
      </c>
      <c r="H431" s="69">
        <f t="shared" si="194"/>
        <v>0</v>
      </c>
      <c r="I431" s="69">
        <f t="shared" si="194"/>
        <v>7430.4</v>
      </c>
      <c r="J431" s="69">
        <f t="shared" si="194"/>
        <v>3634.8999999999996</v>
      </c>
      <c r="K431" s="69">
        <f t="shared" si="194"/>
        <v>0</v>
      </c>
      <c r="L431" s="69">
        <f t="shared" si="194"/>
        <v>0</v>
      </c>
      <c r="M431" s="69">
        <f t="shared" si="194"/>
        <v>0</v>
      </c>
      <c r="N431" s="69">
        <f t="shared" si="194"/>
        <v>0</v>
      </c>
      <c r="O431" s="69">
        <f t="shared" si="194"/>
        <v>0</v>
      </c>
    </row>
    <row r="432" spans="1:25" ht="21" customHeight="1" x14ac:dyDescent="0.2">
      <c r="A432" s="138"/>
      <c r="B432" s="147"/>
      <c r="C432" s="101" t="s">
        <v>10</v>
      </c>
      <c r="D432" s="69">
        <f t="shared" si="186"/>
        <v>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0</v>
      </c>
      <c r="N432" s="69">
        <v>0</v>
      </c>
      <c r="O432" s="69">
        <v>0</v>
      </c>
    </row>
    <row r="433" spans="1:25" ht="15.75" x14ac:dyDescent="0.2">
      <c r="A433" s="138"/>
      <c r="B433" s="147"/>
      <c r="C433" s="101" t="s">
        <v>11</v>
      </c>
      <c r="D433" s="69">
        <f t="shared" si="186"/>
        <v>11065.3</v>
      </c>
      <c r="E433" s="69">
        <v>0</v>
      </c>
      <c r="F433" s="69">
        <v>0</v>
      </c>
      <c r="G433" s="69">
        <v>0</v>
      </c>
      <c r="H433" s="69">
        <v>0</v>
      </c>
      <c r="I433" s="69">
        <f>6602.5+827.9</f>
        <v>7430.4</v>
      </c>
      <c r="J433" s="69">
        <f>6521.7-2886.8</f>
        <v>3634.8999999999996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</row>
    <row r="434" spans="1:25" ht="15.75" x14ac:dyDescent="0.2">
      <c r="A434" s="138"/>
      <c r="B434" s="147"/>
      <c r="C434" s="101" t="s">
        <v>12</v>
      </c>
      <c r="D434" s="69">
        <f t="shared" si="186"/>
        <v>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0</v>
      </c>
      <c r="N434" s="69">
        <v>0</v>
      </c>
      <c r="O434" s="69">
        <v>0</v>
      </c>
    </row>
    <row r="435" spans="1:25" ht="21.75" customHeight="1" x14ac:dyDescent="0.2">
      <c r="A435" s="138"/>
      <c r="B435" s="147"/>
      <c r="C435" s="96" t="s">
        <v>13</v>
      </c>
      <c r="D435" s="69">
        <f t="shared" si="186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</row>
    <row r="436" spans="1:25" ht="15.75" customHeight="1" x14ac:dyDescent="0.2">
      <c r="A436" s="138" t="s">
        <v>148</v>
      </c>
      <c r="B436" s="147" t="s">
        <v>58</v>
      </c>
      <c r="C436" s="101" t="s">
        <v>7</v>
      </c>
      <c r="D436" s="69">
        <f t="shared" si="186"/>
        <v>105328.4</v>
      </c>
      <c r="E436" s="69">
        <f t="shared" ref="E436:O436" si="195">E437+E438+E440+E439</f>
        <v>17919.099999999999</v>
      </c>
      <c r="F436" s="69">
        <f t="shared" si="195"/>
        <v>16953.400000000001</v>
      </c>
      <c r="G436" s="69">
        <f t="shared" si="195"/>
        <v>16137.9</v>
      </c>
      <c r="H436" s="69">
        <f t="shared" si="195"/>
        <v>14053.5</v>
      </c>
      <c r="I436" s="69">
        <f t="shared" si="195"/>
        <v>0</v>
      </c>
      <c r="J436" s="69">
        <f t="shared" si="195"/>
        <v>8344.9</v>
      </c>
      <c r="K436" s="69">
        <f t="shared" si="195"/>
        <v>10648.9</v>
      </c>
      <c r="L436" s="69">
        <f t="shared" si="195"/>
        <v>7072.5</v>
      </c>
      <c r="M436" s="69">
        <f t="shared" si="195"/>
        <v>4952.2000000000007</v>
      </c>
      <c r="N436" s="69">
        <f t="shared" si="195"/>
        <v>4657.4000000000005</v>
      </c>
      <c r="O436" s="69">
        <f t="shared" si="195"/>
        <v>4588.6000000000004</v>
      </c>
    </row>
    <row r="437" spans="1:25" ht="15.75" customHeight="1" x14ac:dyDescent="0.2">
      <c r="A437" s="138"/>
      <c r="B437" s="147"/>
      <c r="C437" s="101" t="s">
        <v>10</v>
      </c>
      <c r="D437" s="69">
        <f t="shared" si="186"/>
        <v>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0</v>
      </c>
      <c r="N437" s="69">
        <v>0</v>
      </c>
      <c r="O437" s="69">
        <v>0</v>
      </c>
    </row>
    <row r="438" spans="1:25" ht="15.75" customHeight="1" x14ac:dyDescent="0.2">
      <c r="A438" s="138"/>
      <c r="B438" s="147"/>
      <c r="C438" s="101" t="s">
        <v>11</v>
      </c>
      <c r="D438" s="69">
        <f t="shared" si="18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</row>
    <row r="439" spans="1:25" ht="15.75" customHeight="1" x14ac:dyDescent="0.2">
      <c r="A439" s="138"/>
      <c r="B439" s="147"/>
      <c r="C439" s="101" t="s">
        <v>12</v>
      </c>
      <c r="D439" s="69">
        <f t="shared" si="186"/>
        <v>105328.4</v>
      </c>
      <c r="E439" s="69">
        <v>17919.099999999999</v>
      </c>
      <c r="F439" s="69">
        <v>16953.400000000001</v>
      </c>
      <c r="G439" s="69">
        <v>16137.9</v>
      </c>
      <c r="H439" s="69">
        <v>14053.5</v>
      </c>
      <c r="I439" s="69">
        <v>0</v>
      </c>
      <c r="J439" s="69">
        <f>0+2600+6251.4-506.5</f>
        <v>8344.9</v>
      </c>
      <c r="K439" s="69">
        <f>13474.9-2900+74</f>
        <v>10648.9</v>
      </c>
      <c r="L439" s="69">
        <f>5037.6+2000-40.6-15+90.5</f>
        <v>7072.5</v>
      </c>
      <c r="M439" s="57">
        <f>5341.7-1097.6-291.9+1000</f>
        <v>4952.2000000000007</v>
      </c>
      <c r="N439" s="69">
        <f>5367.8-710.4</f>
        <v>4657.4000000000005</v>
      </c>
      <c r="O439" s="69">
        <f>13511.2-8922.6</f>
        <v>4588.6000000000004</v>
      </c>
      <c r="X439" s="60"/>
      <c r="Y439" s="60"/>
    </row>
    <row r="440" spans="1:25" ht="22.5" customHeight="1" x14ac:dyDescent="0.2">
      <c r="A440" s="138"/>
      <c r="B440" s="147"/>
      <c r="C440" s="96" t="s">
        <v>13</v>
      </c>
      <c r="D440" s="69">
        <f t="shared" si="18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82">
        <v>0</v>
      </c>
      <c r="K440" s="82">
        <v>0</v>
      </c>
      <c r="L440" s="82">
        <v>0</v>
      </c>
      <c r="M440" s="82">
        <v>0</v>
      </c>
      <c r="N440" s="82">
        <v>0</v>
      </c>
      <c r="O440" s="82">
        <v>0</v>
      </c>
    </row>
    <row r="441" spans="1:25" ht="18.75" customHeight="1" x14ac:dyDescent="0.2">
      <c r="A441" s="138" t="s">
        <v>209</v>
      </c>
      <c r="B441" s="147" t="s">
        <v>264</v>
      </c>
      <c r="C441" s="96" t="s">
        <v>7</v>
      </c>
      <c r="D441" s="69">
        <f t="shared" si="186"/>
        <v>12543.1</v>
      </c>
      <c r="E441" s="69">
        <f t="shared" ref="E441:O441" si="196">E442+E443+E445+E444</f>
        <v>0</v>
      </c>
      <c r="F441" s="69">
        <f t="shared" si="196"/>
        <v>0</v>
      </c>
      <c r="G441" s="69">
        <f t="shared" si="196"/>
        <v>0</v>
      </c>
      <c r="H441" s="69">
        <f t="shared" si="196"/>
        <v>0</v>
      </c>
      <c r="I441" s="69">
        <f t="shared" si="196"/>
        <v>8676.1</v>
      </c>
      <c r="J441" s="69">
        <f t="shared" si="196"/>
        <v>3867</v>
      </c>
      <c r="K441" s="69">
        <f t="shared" si="196"/>
        <v>0</v>
      </c>
      <c r="L441" s="69">
        <f t="shared" si="196"/>
        <v>0</v>
      </c>
      <c r="M441" s="69">
        <f t="shared" si="196"/>
        <v>0</v>
      </c>
      <c r="N441" s="69">
        <f t="shared" si="196"/>
        <v>0</v>
      </c>
      <c r="O441" s="69">
        <f t="shared" si="196"/>
        <v>0</v>
      </c>
    </row>
    <row r="442" spans="1:25" ht="18.75" customHeight="1" x14ac:dyDescent="0.2">
      <c r="A442" s="138"/>
      <c r="B442" s="147"/>
      <c r="C442" s="96" t="s">
        <v>10</v>
      </c>
      <c r="D442" s="69">
        <f t="shared" si="18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</row>
    <row r="443" spans="1:25" ht="18.75" customHeight="1" x14ac:dyDescent="0.2">
      <c r="A443" s="138"/>
      <c r="B443" s="147"/>
      <c r="C443" s="96" t="s">
        <v>11</v>
      </c>
      <c r="D443" s="69">
        <f t="shared" si="186"/>
        <v>12543.1</v>
      </c>
      <c r="E443" s="69">
        <v>0</v>
      </c>
      <c r="F443" s="69">
        <v>0</v>
      </c>
      <c r="G443" s="69">
        <v>0</v>
      </c>
      <c r="H443" s="69">
        <v>0</v>
      </c>
      <c r="I443" s="69">
        <f>10280.7-1604.6</f>
        <v>8676.1</v>
      </c>
      <c r="J443" s="69">
        <f>10118.4-6251.4</f>
        <v>3867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</row>
    <row r="444" spans="1:25" ht="18.75" customHeight="1" x14ac:dyDescent="0.2">
      <c r="A444" s="138"/>
      <c r="B444" s="147"/>
      <c r="C444" s="96" t="s">
        <v>12</v>
      </c>
      <c r="D444" s="69">
        <f t="shared" si="186"/>
        <v>0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</row>
    <row r="445" spans="1:25" ht="18.75" customHeight="1" x14ac:dyDescent="0.2">
      <c r="A445" s="138"/>
      <c r="B445" s="147"/>
      <c r="C445" s="96" t="s">
        <v>13</v>
      </c>
      <c r="D445" s="69">
        <f t="shared" si="18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82">
        <v>0</v>
      </c>
      <c r="K445" s="82">
        <v>0</v>
      </c>
      <c r="L445" s="69">
        <v>0</v>
      </c>
      <c r="M445" s="69">
        <v>0</v>
      </c>
      <c r="N445" s="69">
        <v>0</v>
      </c>
      <c r="O445" s="69">
        <v>0</v>
      </c>
    </row>
    <row r="446" spans="1:25" ht="15.75" customHeight="1" x14ac:dyDescent="0.2">
      <c r="A446" s="138" t="s">
        <v>269</v>
      </c>
      <c r="B446" s="147" t="s">
        <v>22</v>
      </c>
      <c r="C446" s="101" t="s">
        <v>7</v>
      </c>
      <c r="D446" s="69">
        <f t="shared" si="186"/>
        <v>1696</v>
      </c>
      <c r="E446" s="69">
        <f t="shared" ref="E446:K446" si="197">E447+E448+E449+E450</f>
        <v>1696</v>
      </c>
      <c r="F446" s="69">
        <f t="shared" si="197"/>
        <v>0</v>
      </c>
      <c r="G446" s="69">
        <f t="shared" si="197"/>
        <v>0</v>
      </c>
      <c r="H446" s="69">
        <f t="shared" si="197"/>
        <v>0</v>
      </c>
      <c r="I446" s="69">
        <f t="shared" si="197"/>
        <v>0</v>
      </c>
      <c r="J446" s="69">
        <f t="shared" si="197"/>
        <v>0</v>
      </c>
      <c r="K446" s="69">
        <f t="shared" si="197"/>
        <v>0</v>
      </c>
      <c r="L446" s="69">
        <f>L447+L448+L449+L450</f>
        <v>0</v>
      </c>
      <c r="M446" s="69">
        <f>M447+M448+M449+M450</f>
        <v>0</v>
      </c>
      <c r="N446" s="69">
        <f>N447+N448+N449+N450</f>
        <v>0</v>
      </c>
      <c r="O446" s="69">
        <f>O447+O448+O449+O450</f>
        <v>0</v>
      </c>
    </row>
    <row r="447" spans="1:25" ht="15.75" customHeight="1" x14ac:dyDescent="0.2">
      <c r="A447" s="138"/>
      <c r="B447" s="147"/>
      <c r="C447" s="101" t="s">
        <v>10</v>
      </c>
      <c r="D447" s="69">
        <f t="shared" si="186"/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</row>
    <row r="448" spans="1:25" ht="15.75" customHeight="1" x14ac:dyDescent="0.2">
      <c r="A448" s="138"/>
      <c r="B448" s="147"/>
      <c r="C448" s="101" t="s">
        <v>11</v>
      </c>
      <c r="D448" s="69">
        <f t="shared" si="186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</row>
    <row r="449" spans="1:15" ht="15.75" customHeight="1" x14ac:dyDescent="0.2">
      <c r="A449" s="138"/>
      <c r="B449" s="147"/>
      <c r="C449" s="101" t="s">
        <v>12</v>
      </c>
      <c r="D449" s="69">
        <f t="shared" si="186"/>
        <v>1696</v>
      </c>
      <c r="E449" s="69">
        <v>1696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</row>
    <row r="450" spans="1:15" ht="18" customHeight="1" x14ac:dyDescent="0.2">
      <c r="A450" s="138"/>
      <c r="B450" s="147"/>
      <c r="C450" s="96" t="s">
        <v>13</v>
      </c>
      <c r="D450" s="69">
        <f t="shared" si="186"/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</row>
    <row r="451" spans="1:15" ht="15.75" x14ac:dyDescent="0.2">
      <c r="A451" s="138" t="s">
        <v>270</v>
      </c>
      <c r="B451" s="138" t="s">
        <v>237</v>
      </c>
      <c r="C451" s="101" t="s">
        <v>7</v>
      </c>
      <c r="D451" s="69">
        <f t="shared" si="186"/>
        <v>3290</v>
      </c>
      <c r="E451" s="69">
        <f>E452+E453+E454+E455</f>
        <v>0</v>
      </c>
      <c r="F451" s="69">
        <f t="shared" ref="F451:K451" si="198">F452+F453+F454+F455</f>
        <v>0</v>
      </c>
      <c r="G451" s="69">
        <f t="shared" si="198"/>
        <v>3290</v>
      </c>
      <c r="H451" s="69">
        <f t="shared" si="198"/>
        <v>0</v>
      </c>
      <c r="I451" s="69">
        <f t="shared" si="198"/>
        <v>0</v>
      </c>
      <c r="J451" s="69">
        <f t="shared" si="198"/>
        <v>0</v>
      </c>
      <c r="K451" s="69">
        <f t="shared" si="198"/>
        <v>0</v>
      </c>
      <c r="L451" s="69">
        <f>L452+L453+L454+L455</f>
        <v>0</v>
      </c>
      <c r="M451" s="69">
        <f>M452+M453+M454+M455</f>
        <v>0</v>
      </c>
      <c r="N451" s="69">
        <f>N452+N453+N454+N455</f>
        <v>0</v>
      </c>
      <c r="O451" s="69">
        <f>O452+O453+O454+O455</f>
        <v>0</v>
      </c>
    </row>
    <row r="452" spans="1:15" ht="15.75" x14ac:dyDescent="0.2">
      <c r="A452" s="138"/>
      <c r="B452" s="138"/>
      <c r="C452" s="101" t="s">
        <v>10</v>
      </c>
      <c r="D452" s="69">
        <f t="shared" si="186"/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</row>
    <row r="453" spans="1:15" ht="15.75" x14ac:dyDescent="0.2">
      <c r="A453" s="138"/>
      <c r="B453" s="138"/>
      <c r="C453" s="101" t="s">
        <v>11</v>
      </c>
      <c r="D453" s="69">
        <f t="shared" si="186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</row>
    <row r="454" spans="1:15" ht="15.75" x14ac:dyDescent="0.2">
      <c r="A454" s="138"/>
      <c r="B454" s="138"/>
      <c r="C454" s="101" t="s">
        <v>12</v>
      </c>
      <c r="D454" s="69">
        <f t="shared" si="186"/>
        <v>3290</v>
      </c>
      <c r="E454" s="69">
        <v>0</v>
      </c>
      <c r="F454" s="69">
        <v>0</v>
      </c>
      <c r="G454" s="69">
        <v>3290</v>
      </c>
      <c r="H454" s="69">
        <v>0</v>
      </c>
      <c r="I454" s="69">
        <v>0</v>
      </c>
      <c r="J454" s="69">
        <v>0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</row>
    <row r="455" spans="1:15" ht="23.25" customHeight="1" x14ac:dyDescent="0.2">
      <c r="A455" s="138"/>
      <c r="B455" s="138"/>
      <c r="C455" s="96" t="s">
        <v>13</v>
      </c>
      <c r="D455" s="69">
        <f t="shared" si="186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</row>
    <row r="456" spans="1:15" ht="23.25" customHeight="1" x14ac:dyDescent="0.2">
      <c r="A456" s="138" t="s">
        <v>385</v>
      </c>
      <c r="B456" s="138" t="s">
        <v>395</v>
      </c>
      <c r="C456" s="101" t="s">
        <v>7</v>
      </c>
      <c r="D456" s="69">
        <f>E456+F456+G456+H456+I456+J456+K456+L456+M456+N456+O456</f>
        <v>57.699999999999996</v>
      </c>
      <c r="E456" s="69">
        <f>SUM(E457:E460)</f>
        <v>0</v>
      </c>
      <c r="F456" s="69">
        <f t="shared" ref="F456:O456" si="199">SUM(F457:F460)</f>
        <v>0</v>
      </c>
      <c r="G456" s="69">
        <f t="shared" si="199"/>
        <v>0</v>
      </c>
      <c r="H456" s="69">
        <f t="shared" si="199"/>
        <v>0</v>
      </c>
      <c r="I456" s="69">
        <f t="shared" si="199"/>
        <v>0</v>
      </c>
      <c r="J456" s="69">
        <f t="shared" si="199"/>
        <v>0</v>
      </c>
      <c r="K456" s="69">
        <f t="shared" si="199"/>
        <v>0</v>
      </c>
      <c r="L456" s="69">
        <f t="shared" si="199"/>
        <v>20</v>
      </c>
      <c r="M456" s="69">
        <f t="shared" si="199"/>
        <v>11.299999999999999</v>
      </c>
      <c r="N456" s="69">
        <f t="shared" si="199"/>
        <v>13.3</v>
      </c>
      <c r="O456" s="69">
        <f t="shared" si="199"/>
        <v>13.1</v>
      </c>
    </row>
    <row r="457" spans="1:15" ht="23.25" customHeight="1" x14ac:dyDescent="0.2">
      <c r="A457" s="138"/>
      <c r="B457" s="138"/>
      <c r="C457" s="101" t="s">
        <v>10</v>
      </c>
      <c r="D457" s="69">
        <f t="shared" ref="D457:D460" si="200">E457+F457+G457+H457+I457+J457+K457+L457+M457+N457+O457</f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</row>
    <row r="458" spans="1:15" ht="23.25" customHeight="1" x14ac:dyDescent="0.2">
      <c r="A458" s="138"/>
      <c r="B458" s="138"/>
      <c r="C458" s="101" t="s">
        <v>11</v>
      </c>
      <c r="D458" s="69">
        <f t="shared" si="200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</row>
    <row r="459" spans="1:15" ht="23.25" customHeight="1" x14ac:dyDescent="0.2">
      <c r="A459" s="138"/>
      <c r="B459" s="138"/>
      <c r="C459" s="101" t="s">
        <v>12</v>
      </c>
      <c r="D459" s="69">
        <f t="shared" si="200"/>
        <v>57.699999999999996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f>550.5-550.5</f>
        <v>0</v>
      </c>
      <c r="L459" s="69">
        <f>20</f>
        <v>20</v>
      </c>
      <c r="M459" s="69">
        <f>21.2-9.9</f>
        <v>11.299999999999999</v>
      </c>
      <c r="N459" s="69">
        <f>21.3-8</f>
        <v>13.3</v>
      </c>
      <c r="O459" s="69">
        <v>13.1</v>
      </c>
    </row>
    <row r="460" spans="1:15" ht="23.25" customHeight="1" x14ac:dyDescent="0.2">
      <c r="A460" s="138"/>
      <c r="B460" s="138"/>
      <c r="C460" s="96" t="s">
        <v>13</v>
      </c>
      <c r="D460" s="69">
        <f t="shared" si="200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</row>
    <row r="461" spans="1:15" ht="23.25" hidden="1" customHeight="1" x14ac:dyDescent="0.2">
      <c r="A461" s="138" t="s">
        <v>443</v>
      </c>
      <c r="B461" s="138" t="s">
        <v>444</v>
      </c>
      <c r="C461" s="101" t="s">
        <v>7</v>
      </c>
      <c r="D461" s="69">
        <f>E461+F461+G461+H461+I461+J461+K461+L461+M461+N461+O461</f>
        <v>0</v>
      </c>
      <c r="E461" s="69">
        <f>SUM(E462:E465)</f>
        <v>0</v>
      </c>
      <c r="F461" s="69">
        <f t="shared" ref="F461:O461" si="201">SUM(F462:F465)</f>
        <v>0</v>
      </c>
      <c r="G461" s="69">
        <f t="shared" si="201"/>
        <v>0</v>
      </c>
      <c r="H461" s="69">
        <f t="shared" si="201"/>
        <v>0</v>
      </c>
      <c r="I461" s="69">
        <f t="shared" si="201"/>
        <v>0</v>
      </c>
      <c r="J461" s="69">
        <f t="shared" si="201"/>
        <v>0</v>
      </c>
      <c r="K461" s="69">
        <f t="shared" si="201"/>
        <v>0</v>
      </c>
      <c r="L461" s="69">
        <f t="shared" si="201"/>
        <v>0</v>
      </c>
      <c r="M461" s="69">
        <f t="shared" si="201"/>
        <v>0</v>
      </c>
      <c r="N461" s="69">
        <f t="shared" si="201"/>
        <v>0</v>
      </c>
      <c r="O461" s="69">
        <f t="shared" si="201"/>
        <v>0</v>
      </c>
    </row>
    <row r="462" spans="1:15" ht="23.25" hidden="1" customHeight="1" x14ac:dyDescent="0.2">
      <c r="A462" s="138"/>
      <c r="B462" s="138"/>
      <c r="C462" s="101" t="s">
        <v>10</v>
      </c>
      <c r="D462" s="69">
        <f t="shared" ref="D462:D465" si="202">E462+F462+G462+H462+I462+J462+K462+L462+M462+N462+O462</f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</row>
    <row r="463" spans="1:15" ht="23.25" hidden="1" customHeight="1" x14ac:dyDescent="0.2">
      <c r="A463" s="138"/>
      <c r="B463" s="138"/>
      <c r="C463" s="101" t="s">
        <v>11</v>
      </c>
      <c r="D463" s="69">
        <f t="shared" si="202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</row>
    <row r="464" spans="1:15" ht="23.25" hidden="1" customHeight="1" x14ac:dyDescent="0.2">
      <c r="A464" s="138"/>
      <c r="B464" s="138"/>
      <c r="C464" s="101" t="s">
        <v>12</v>
      </c>
      <c r="D464" s="69">
        <f t="shared" si="202"/>
        <v>0</v>
      </c>
      <c r="E464" s="69">
        <v>0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f>550.5-550.5</f>
        <v>0</v>
      </c>
      <c r="L464" s="69">
        <v>0</v>
      </c>
      <c r="M464" s="69">
        <f>650-650</f>
        <v>0</v>
      </c>
      <c r="N464" s="69">
        <v>0</v>
      </c>
      <c r="O464" s="69">
        <v>0</v>
      </c>
    </row>
    <row r="465" spans="1:15" ht="23.25" hidden="1" customHeight="1" x14ac:dyDescent="0.2">
      <c r="A465" s="138"/>
      <c r="B465" s="138"/>
      <c r="C465" s="96" t="s">
        <v>13</v>
      </c>
      <c r="D465" s="69">
        <f t="shared" si="202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</row>
    <row r="466" spans="1:15" ht="15.75" x14ac:dyDescent="0.2">
      <c r="A466" s="138" t="s">
        <v>149</v>
      </c>
      <c r="B466" s="147" t="s">
        <v>379</v>
      </c>
      <c r="C466" s="101" t="s">
        <v>7</v>
      </c>
      <c r="D466" s="69">
        <f>E466+F466+G466+H466+I466+J466+K466+L466+M466+N466+O466</f>
        <v>39329.599999999991</v>
      </c>
      <c r="E466" s="69">
        <f>E467+E468+E469+E471</f>
        <v>3741.9</v>
      </c>
      <c r="F466" s="69">
        <f t="shared" ref="F466:O466" si="203">F467+F468+F469+F471</f>
        <v>2450</v>
      </c>
      <c r="G466" s="69">
        <f t="shared" si="203"/>
        <v>2262.1</v>
      </c>
      <c r="H466" s="69">
        <f t="shared" si="203"/>
        <v>1999</v>
      </c>
      <c r="I466" s="69">
        <f t="shared" si="203"/>
        <v>13558.599999999999</v>
      </c>
      <c r="J466" s="69">
        <f>J467+J468+J469+J471</f>
        <v>8475.2999999999993</v>
      </c>
      <c r="K466" s="69">
        <f t="shared" si="203"/>
        <v>5424.9</v>
      </c>
      <c r="L466" s="69">
        <f t="shared" si="203"/>
        <v>1285.4000000000003</v>
      </c>
      <c r="M466" s="69">
        <f t="shared" si="203"/>
        <v>0</v>
      </c>
      <c r="N466" s="69">
        <f t="shared" si="203"/>
        <v>66.7</v>
      </c>
      <c r="O466" s="69">
        <f t="shared" si="203"/>
        <v>65.699999999999989</v>
      </c>
    </row>
    <row r="467" spans="1:15" ht="15.75" x14ac:dyDescent="0.2">
      <c r="A467" s="138"/>
      <c r="B467" s="147"/>
      <c r="C467" s="101" t="s">
        <v>10</v>
      </c>
      <c r="D467" s="69">
        <f t="shared" si="186"/>
        <v>0</v>
      </c>
      <c r="E467" s="69">
        <f>E473+E480+E485</f>
        <v>0</v>
      </c>
      <c r="F467" s="69">
        <f t="shared" ref="F467:O467" si="204">F473+F480+F485</f>
        <v>0</v>
      </c>
      <c r="G467" s="69">
        <f t="shared" si="204"/>
        <v>0</v>
      </c>
      <c r="H467" s="69">
        <f t="shared" si="204"/>
        <v>0</v>
      </c>
      <c r="I467" s="69">
        <f t="shared" si="204"/>
        <v>0</v>
      </c>
      <c r="J467" s="69">
        <f t="shared" si="204"/>
        <v>0</v>
      </c>
      <c r="K467" s="69">
        <f t="shared" si="204"/>
        <v>0</v>
      </c>
      <c r="L467" s="69">
        <f t="shared" si="204"/>
        <v>0</v>
      </c>
      <c r="M467" s="69">
        <f t="shared" si="204"/>
        <v>0</v>
      </c>
      <c r="N467" s="69">
        <f t="shared" si="204"/>
        <v>0</v>
      </c>
      <c r="O467" s="69">
        <f t="shared" si="204"/>
        <v>0</v>
      </c>
    </row>
    <row r="468" spans="1:15" ht="15.75" x14ac:dyDescent="0.2">
      <c r="A468" s="138"/>
      <c r="B468" s="147"/>
      <c r="C468" s="101" t="s">
        <v>11</v>
      </c>
      <c r="D468" s="69">
        <f t="shared" si="186"/>
        <v>22235.8</v>
      </c>
      <c r="E468" s="69">
        <f t="shared" ref="E468:O468" si="205">E474+E481+E486</f>
        <v>0</v>
      </c>
      <c r="F468" s="69">
        <f t="shared" si="205"/>
        <v>0</v>
      </c>
      <c r="G468" s="69">
        <f t="shared" si="205"/>
        <v>0</v>
      </c>
      <c r="H468" s="69">
        <f t="shared" si="205"/>
        <v>0</v>
      </c>
      <c r="I468" s="69">
        <f>I474+I481+I486</f>
        <v>11234.3</v>
      </c>
      <c r="J468" s="69">
        <f>J474+J481+J486+J491</f>
        <v>7403.7</v>
      </c>
      <c r="K468" s="69">
        <f t="shared" si="205"/>
        <v>3597.8</v>
      </c>
      <c r="L468" s="69">
        <f t="shared" si="205"/>
        <v>0</v>
      </c>
      <c r="M468" s="69">
        <f t="shared" si="205"/>
        <v>0</v>
      </c>
      <c r="N468" s="69">
        <f t="shared" si="205"/>
        <v>0</v>
      </c>
      <c r="O468" s="69">
        <f t="shared" si="205"/>
        <v>0</v>
      </c>
    </row>
    <row r="469" spans="1:15" ht="31.5" x14ac:dyDescent="0.2">
      <c r="A469" s="138"/>
      <c r="B469" s="147"/>
      <c r="C469" s="101" t="s">
        <v>65</v>
      </c>
      <c r="D469" s="69">
        <f t="shared" si="186"/>
        <v>17093.800000000003</v>
      </c>
      <c r="E469" s="69">
        <f>E475+E482+E487+E492</f>
        <v>3741.9</v>
      </c>
      <c r="F469" s="69">
        <f t="shared" ref="F469:J469" si="206">F475+F482+F487+F492</f>
        <v>2450</v>
      </c>
      <c r="G469" s="69">
        <f t="shared" si="206"/>
        <v>2262.1</v>
      </c>
      <c r="H469" s="69">
        <f t="shared" si="206"/>
        <v>1999</v>
      </c>
      <c r="I469" s="69">
        <f>I475+I482+I487+I492</f>
        <v>2324.3000000000002</v>
      </c>
      <c r="J469" s="69">
        <f t="shared" si="206"/>
        <v>1071.5999999999999</v>
      </c>
      <c r="K469" s="69">
        <f>K475+K482+K487+K492+K497</f>
        <v>1827.1</v>
      </c>
      <c r="L469" s="69">
        <f>L475+L482+L487+L492+L497+L502</f>
        <v>1285.4000000000003</v>
      </c>
      <c r="M469" s="69">
        <f t="shared" ref="M469:O469" si="207">M475+M482+M487+M492+M497</f>
        <v>0</v>
      </c>
      <c r="N469" s="69">
        <f t="shared" si="207"/>
        <v>66.7</v>
      </c>
      <c r="O469" s="69">
        <f t="shared" si="207"/>
        <v>65.699999999999989</v>
      </c>
    </row>
    <row r="470" spans="1:15" ht="31.5" x14ac:dyDescent="0.2">
      <c r="A470" s="138"/>
      <c r="B470" s="147"/>
      <c r="C470" s="74" t="s">
        <v>79</v>
      </c>
      <c r="D470" s="69">
        <f t="shared" si="186"/>
        <v>3631.3</v>
      </c>
      <c r="E470" s="69">
        <f t="shared" ref="E470:K470" si="208">E476+E483+E488</f>
        <v>2932.6</v>
      </c>
      <c r="F470" s="69">
        <f t="shared" si="208"/>
        <v>0</v>
      </c>
      <c r="G470" s="69">
        <f t="shared" si="208"/>
        <v>0</v>
      </c>
      <c r="H470" s="69">
        <f t="shared" si="208"/>
        <v>0</v>
      </c>
      <c r="I470" s="69">
        <f>I476+I483+I488</f>
        <v>698.7</v>
      </c>
      <c r="J470" s="69">
        <f t="shared" si="208"/>
        <v>0</v>
      </c>
      <c r="K470" s="69">
        <f t="shared" si="208"/>
        <v>0</v>
      </c>
      <c r="L470" s="69">
        <f>L476+L483+L488</f>
        <v>0</v>
      </c>
      <c r="M470" s="69">
        <f>M476+M483+M488</f>
        <v>0</v>
      </c>
      <c r="N470" s="69">
        <f>N476+N483+N488</f>
        <v>0</v>
      </c>
      <c r="O470" s="69">
        <f>O476+O483+O488</f>
        <v>0</v>
      </c>
    </row>
    <row r="471" spans="1:15" ht="39" customHeight="1" x14ac:dyDescent="0.2">
      <c r="A471" s="138"/>
      <c r="B471" s="147"/>
      <c r="C471" s="101" t="s">
        <v>13</v>
      </c>
      <c r="D471" s="69">
        <f t="shared" si="186"/>
        <v>0</v>
      </c>
      <c r="E471" s="69">
        <v>0</v>
      </c>
      <c r="F471" s="69">
        <v>0</v>
      </c>
      <c r="G471" s="69">
        <v>0</v>
      </c>
      <c r="H471" s="69">
        <v>0</v>
      </c>
      <c r="I471" s="69">
        <v>0</v>
      </c>
      <c r="J471" s="69">
        <v>0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</row>
    <row r="472" spans="1:15" ht="15.75" x14ac:dyDescent="0.2">
      <c r="A472" s="138" t="s">
        <v>150</v>
      </c>
      <c r="B472" s="147" t="s">
        <v>45</v>
      </c>
      <c r="C472" s="101" t="s">
        <v>7</v>
      </c>
      <c r="D472" s="69">
        <f t="shared" si="186"/>
        <v>11185.6</v>
      </c>
      <c r="E472" s="69">
        <f t="shared" ref="E472:O472" si="209">E473+E474+E475+E478</f>
        <v>3437.4</v>
      </c>
      <c r="F472" s="69">
        <f t="shared" si="209"/>
        <v>2000</v>
      </c>
      <c r="G472" s="69">
        <f t="shared" si="209"/>
        <v>2000</v>
      </c>
      <c r="H472" s="69">
        <f t="shared" si="209"/>
        <v>1905.6</v>
      </c>
      <c r="I472" s="69">
        <f t="shared" si="209"/>
        <v>698.69999999999993</v>
      </c>
      <c r="J472" s="69">
        <f t="shared" si="209"/>
        <v>599</v>
      </c>
      <c r="K472" s="69">
        <f t="shared" si="209"/>
        <v>544.9</v>
      </c>
      <c r="L472" s="69">
        <f t="shared" si="209"/>
        <v>0</v>
      </c>
      <c r="M472" s="69">
        <f t="shared" si="209"/>
        <v>0</v>
      </c>
      <c r="N472" s="69">
        <f t="shared" si="209"/>
        <v>0</v>
      </c>
      <c r="O472" s="69">
        <f t="shared" si="209"/>
        <v>0</v>
      </c>
    </row>
    <row r="473" spans="1:15" ht="15.75" customHeight="1" x14ac:dyDescent="0.2">
      <c r="A473" s="138"/>
      <c r="B473" s="147"/>
      <c r="C473" s="101" t="s">
        <v>10</v>
      </c>
      <c r="D473" s="69">
        <f t="shared" ref="D473:D478" si="210">E473+F473+G473+H473+I473+J473+K473+L473+M473+N473+O473</f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</row>
    <row r="474" spans="1:15" ht="15.75" customHeight="1" x14ac:dyDescent="0.2">
      <c r="A474" s="138"/>
      <c r="B474" s="147"/>
      <c r="C474" s="101" t="s">
        <v>11</v>
      </c>
      <c r="D474" s="69">
        <f t="shared" si="210"/>
        <v>0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v>0</v>
      </c>
      <c r="L474" s="69">
        <v>0</v>
      </c>
      <c r="M474" s="69">
        <v>0</v>
      </c>
      <c r="N474" s="69">
        <v>0</v>
      </c>
      <c r="O474" s="69">
        <v>0</v>
      </c>
    </row>
    <row r="475" spans="1:15" ht="31.5" x14ac:dyDescent="0.2">
      <c r="A475" s="138"/>
      <c r="B475" s="147"/>
      <c r="C475" s="101" t="s">
        <v>65</v>
      </c>
      <c r="D475" s="69">
        <f t="shared" si="210"/>
        <v>11185.6</v>
      </c>
      <c r="E475" s="69">
        <v>3437.4</v>
      </c>
      <c r="F475" s="69">
        <v>2000</v>
      </c>
      <c r="G475" s="69">
        <v>2000</v>
      </c>
      <c r="H475" s="69">
        <v>1905.6</v>
      </c>
      <c r="I475" s="69">
        <f>734.4-35.7</f>
        <v>698.69999999999993</v>
      </c>
      <c r="J475" s="69">
        <f>1907.8-800-508.8</f>
        <v>599</v>
      </c>
      <c r="K475" s="69">
        <f>775.5-230.6</f>
        <v>544.9</v>
      </c>
      <c r="L475" s="69">
        <f>181.4-181.4+181.4-181.4</f>
        <v>0</v>
      </c>
      <c r="M475" s="69">
        <f>192.3-192.3</f>
        <v>0</v>
      </c>
      <c r="N475" s="69">
        <f>193.3-193.3</f>
        <v>0</v>
      </c>
      <c r="O475" s="69">
        <f>866.6-866.6</f>
        <v>0</v>
      </c>
    </row>
    <row r="476" spans="1:15" ht="31.5" x14ac:dyDescent="0.2">
      <c r="A476" s="138"/>
      <c r="B476" s="147"/>
      <c r="C476" s="74" t="s">
        <v>79</v>
      </c>
      <c r="D476" s="69">
        <f t="shared" si="210"/>
        <v>3631.3</v>
      </c>
      <c r="E476" s="71">
        <v>2932.6</v>
      </c>
      <c r="F476" s="71">
        <v>0</v>
      </c>
      <c r="G476" s="71">
        <v>0</v>
      </c>
      <c r="H476" s="71">
        <v>0</v>
      </c>
      <c r="I476" s="71">
        <v>698.7</v>
      </c>
      <c r="J476" s="71">
        <v>0</v>
      </c>
      <c r="K476" s="71">
        <v>0</v>
      </c>
      <c r="L476" s="71">
        <v>0</v>
      </c>
      <c r="M476" s="71">
        <v>0</v>
      </c>
      <c r="N476" s="71">
        <v>0</v>
      </c>
      <c r="O476" s="71">
        <v>0</v>
      </c>
    </row>
    <row r="477" spans="1:15" ht="31.5" x14ac:dyDescent="0.2">
      <c r="A477" s="138"/>
      <c r="B477" s="147"/>
      <c r="C477" s="74" t="s">
        <v>81</v>
      </c>
      <c r="D477" s="69">
        <f t="shared" si="210"/>
        <v>475.5</v>
      </c>
      <c r="E477" s="69">
        <v>0</v>
      </c>
      <c r="F477" s="69">
        <v>0</v>
      </c>
      <c r="G477" s="69">
        <v>0</v>
      </c>
      <c r="H477" s="69">
        <v>475.5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</row>
    <row r="478" spans="1:15" ht="40.5" customHeight="1" x14ac:dyDescent="0.2">
      <c r="A478" s="138"/>
      <c r="B478" s="147"/>
      <c r="C478" s="101" t="s">
        <v>13</v>
      </c>
      <c r="D478" s="69">
        <f t="shared" si="210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</row>
    <row r="479" spans="1:15" ht="21" customHeight="1" x14ac:dyDescent="0.2">
      <c r="A479" s="138" t="s">
        <v>151</v>
      </c>
      <c r="B479" s="147" t="s">
        <v>50</v>
      </c>
      <c r="C479" s="101" t="s">
        <v>7</v>
      </c>
      <c r="D479" s="69">
        <f t="shared" ref="D479:D532" si="211">E479+F479+G479+H479+I479+J479+K479+L479+M479+N479+O479</f>
        <v>1588.8000000000002</v>
      </c>
      <c r="E479" s="69">
        <f t="shared" ref="E479:O479" si="212">E480+E481+E482+E483</f>
        <v>304.5</v>
      </c>
      <c r="F479" s="69">
        <f t="shared" si="212"/>
        <v>450</v>
      </c>
      <c r="G479" s="69">
        <f t="shared" si="212"/>
        <v>262.10000000000002</v>
      </c>
      <c r="H479" s="69">
        <f t="shared" si="212"/>
        <v>93.4</v>
      </c>
      <c r="I479" s="69">
        <f t="shared" si="212"/>
        <v>346.4</v>
      </c>
      <c r="J479" s="69">
        <f t="shared" si="212"/>
        <v>0</v>
      </c>
      <c r="K479" s="69">
        <f t="shared" si="212"/>
        <v>0</v>
      </c>
      <c r="L479" s="69">
        <f t="shared" si="212"/>
        <v>0</v>
      </c>
      <c r="M479" s="69">
        <f t="shared" si="212"/>
        <v>0</v>
      </c>
      <c r="N479" s="69">
        <f t="shared" si="212"/>
        <v>66.7</v>
      </c>
      <c r="O479" s="69">
        <f t="shared" si="212"/>
        <v>65.699999999999989</v>
      </c>
    </row>
    <row r="480" spans="1:15" ht="17.25" customHeight="1" x14ac:dyDescent="0.2">
      <c r="A480" s="138"/>
      <c r="B480" s="147"/>
      <c r="C480" s="101" t="s">
        <v>10</v>
      </c>
      <c r="D480" s="69">
        <f t="shared" si="21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</row>
    <row r="481" spans="1:15" ht="17.25" customHeight="1" x14ac:dyDescent="0.2">
      <c r="A481" s="138"/>
      <c r="B481" s="147"/>
      <c r="C481" s="101" t="s">
        <v>11</v>
      </c>
      <c r="D481" s="69">
        <f t="shared" si="21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</row>
    <row r="482" spans="1:15" ht="21" customHeight="1" x14ac:dyDescent="0.2">
      <c r="A482" s="138"/>
      <c r="B482" s="147"/>
      <c r="C482" s="101" t="s">
        <v>12</v>
      </c>
      <c r="D482" s="69">
        <f t="shared" si="211"/>
        <v>1588.8000000000002</v>
      </c>
      <c r="E482" s="69">
        <v>304.5</v>
      </c>
      <c r="F482" s="69">
        <v>450</v>
      </c>
      <c r="G482" s="69">
        <v>262.10000000000002</v>
      </c>
      <c r="H482" s="69">
        <v>93.4</v>
      </c>
      <c r="I482" s="69">
        <f>504.9-158.5</f>
        <v>346.4</v>
      </c>
      <c r="J482" s="69">
        <f>227.7-227.7</f>
        <v>0</v>
      </c>
      <c r="K482" s="69">
        <f>420-320-100</f>
        <v>0</v>
      </c>
      <c r="L482" s="69">
        <f>56.6-56.6+56.6-56.6</f>
        <v>0</v>
      </c>
      <c r="M482" s="69">
        <f>75-4.2-70.8+70.8-70.8</f>
        <v>0</v>
      </c>
      <c r="N482" s="69">
        <f>60.3+6.4</f>
        <v>66.7</v>
      </c>
      <c r="O482" s="69">
        <f>139.2-73.5</f>
        <v>65.699999999999989</v>
      </c>
    </row>
    <row r="483" spans="1:15" ht="37.5" customHeight="1" x14ac:dyDescent="0.2">
      <c r="A483" s="138"/>
      <c r="B483" s="147"/>
      <c r="C483" s="101" t="s">
        <v>13</v>
      </c>
      <c r="D483" s="69">
        <f t="shared" si="21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</row>
    <row r="484" spans="1:15" ht="15.75" x14ac:dyDescent="0.2">
      <c r="A484" s="138" t="s">
        <v>276</v>
      </c>
      <c r="B484" s="147" t="s">
        <v>274</v>
      </c>
      <c r="C484" s="83" t="s">
        <v>7</v>
      </c>
      <c r="D484" s="82">
        <f t="shared" si="211"/>
        <v>24217.200000000001</v>
      </c>
      <c r="E484" s="82">
        <f>E485+E486+E487+E488</f>
        <v>0</v>
      </c>
      <c r="F484" s="82">
        <f t="shared" ref="F484:O484" si="213">F485+F486+F487+F488</f>
        <v>0</v>
      </c>
      <c r="G484" s="82">
        <f t="shared" si="213"/>
        <v>0</v>
      </c>
      <c r="H484" s="82">
        <f t="shared" si="213"/>
        <v>0</v>
      </c>
      <c r="I484" s="82">
        <f t="shared" si="213"/>
        <v>12513.5</v>
      </c>
      <c r="J484" s="82">
        <f t="shared" si="213"/>
        <v>7876.2999999999993</v>
      </c>
      <c r="K484" s="82">
        <f t="shared" si="213"/>
        <v>3827.4</v>
      </c>
      <c r="L484" s="82">
        <f t="shared" si="213"/>
        <v>0</v>
      </c>
      <c r="M484" s="82">
        <f t="shared" si="213"/>
        <v>0</v>
      </c>
      <c r="N484" s="82">
        <f t="shared" si="213"/>
        <v>0</v>
      </c>
      <c r="O484" s="82">
        <f t="shared" si="213"/>
        <v>0</v>
      </c>
    </row>
    <row r="485" spans="1:15" ht="15.75" x14ac:dyDescent="0.2">
      <c r="A485" s="138"/>
      <c r="B485" s="148"/>
      <c r="C485" s="96" t="s">
        <v>10</v>
      </c>
      <c r="D485" s="82">
        <f t="shared" si="211"/>
        <v>0</v>
      </c>
      <c r="E485" s="82">
        <v>0</v>
      </c>
      <c r="F485" s="82">
        <v>0</v>
      </c>
      <c r="G485" s="82">
        <v>0</v>
      </c>
      <c r="H485" s="82">
        <v>0</v>
      </c>
      <c r="I485" s="82">
        <v>0</v>
      </c>
      <c r="J485" s="82">
        <v>0</v>
      </c>
      <c r="K485" s="82">
        <v>0</v>
      </c>
      <c r="L485" s="82">
        <v>0</v>
      </c>
      <c r="M485" s="82">
        <v>0</v>
      </c>
      <c r="N485" s="82">
        <v>0</v>
      </c>
      <c r="O485" s="82">
        <v>0</v>
      </c>
    </row>
    <row r="486" spans="1:15" ht="15.75" x14ac:dyDescent="0.2">
      <c r="A486" s="138"/>
      <c r="B486" s="148"/>
      <c r="C486" s="96" t="s">
        <v>11</v>
      </c>
      <c r="D486" s="82">
        <f t="shared" si="211"/>
        <v>22235.8</v>
      </c>
      <c r="E486" s="82">
        <v>0</v>
      </c>
      <c r="F486" s="82">
        <v>0</v>
      </c>
      <c r="G486" s="82">
        <v>0</v>
      </c>
      <c r="H486" s="82">
        <v>0</v>
      </c>
      <c r="I486" s="82">
        <v>11234.3</v>
      </c>
      <c r="J486" s="82">
        <v>7403.7</v>
      </c>
      <c r="K486" s="82">
        <v>3597.8</v>
      </c>
      <c r="L486" s="82">
        <v>0</v>
      </c>
      <c r="M486" s="82">
        <v>0</v>
      </c>
      <c r="N486" s="82">
        <v>0</v>
      </c>
      <c r="O486" s="82">
        <v>0</v>
      </c>
    </row>
    <row r="487" spans="1:15" ht="15.75" x14ac:dyDescent="0.2">
      <c r="A487" s="138"/>
      <c r="B487" s="148"/>
      <c r="C487" s="96" t="s">
        <v>12</v>
      </c>
      <c r="D487" s="82">
        <f t="shared" si="211"/>
        <v>1981.3999999999999</v>
      </c>
      <c r="E487" s="82">
        <v>0</v>
      </c>
      <c r="F487" s="82">
        <v>0</v>
      </c>
      <c r="G487" s="82">
        <v>0</v>
      </c>
      <c r="H487" s="82">
        <v>0</v>
      </c>
      <c r="I487" s="82">
        <f>1850-570.8</f>
        <v>1279.2</v>
      </c>
      <c r="J487" s="82">
        <f>3000-545.9-1981.5</f>
        <v>472.59999999999991</v>
      </c>
      <c r="K487" s="82">
        <v>229.6</v>
      </c>
      <c r="L487" s="82">
        <f>61.2-61.2</f>
        <v>0</v>
      </c>
      <c r="M487" s="82">
        <v>0</v>
      </c>
      <c r="N487" s="82">
        <v>0</v>
      </c>
      <c r="O487" s="82">
        <v>0</v>
      </c>
    </row>
    <row r="488" spans="1:15" ht="15" customHeight="1" x14ac:dyDescent="0.2">
      <c r="A488" s="138"/>
      <c r="B488" s="148"/>
      <c r="C488" s="96" t="s">
        <v>13</v>
      </c>
      <c r="D488" s="82">
        <f t="shared" si="211"/>
        <v>0</v>
      </c>
      <c r="E488" s="82">
        <v>0</v>
      </c>
      <c r="F488" s="82">
        <v>0</v>
      </c>
      <c r="G488" s="82">
        <v>0</v>
      </c>
      <c r="H488" s="82">
        <v>0</v>
      </c>
      <c r="I488" s="82">
        <v>0</v>
      </c>
      <c r="J488" s="82">
        <v>0</v>
      </c>
      <c r="K488" s="82">
        <v>0</v>
      </c>
      <c r="L488" s="82">
        <v>0</v>
      </c>
      <c r="M488" s="82">
        <v>0</v>
      </c>
      <c r="N488" s="82">
        <v>0</v>
      </c>
      <c r="O488" s="82">
        <v>0</v>
      </c>
    </row>
    <row r="489" spans="1:15" ht="15.75" hidden="1" x14ac:dyDescent="0.2">
      <c r="A489" s="138"/>
      <c r="B489" s="147" t="s">
        <v>289</v>
      </c>
      <c r="C489" s="83" t="s">
        <v>7</v>
      </c>
      <c r="D489" s="82">
        <f t="shared" si="211"/>
        <v>0</v>
      </c>
      <c r="E489" s="82">
        <f>E490+E491+E492+E493</f>
        <v>0</v>
      </c>
      <c r="F489" s="82">
        <f t="shared" ref="F489:O489" si="214">F490+F491+F492+F493</f>
        <v>0</v>
      </c>
      <c r="G489" s="82">
        <f t="shared" si="214"/>
        <v>0</v>
      </c>
      <c r="H489" s="82">
        <f t="shared" si="214"/>
        <v>0</v>
      </c>
      <c r="I489" s="82">
        <f t="shared" si="214"/>
        <v>0</v>
      </c>
      <c r="J489" s="82">
        <f t="shared" si="214"/>
        <v>0</v>
      </c>
      <c r="K489" s="82">
        <f t="shared" si="214"/>
        <v>0</v>
      </c>
      <c r="L489" s="82">
        <f t="shared" si="214"/>
        <v>0</v>
      </c>
      <c r="M489" s="82">
        <f t="shared" si="214"/>
        <v>0</v>
      </c>
      <c r="N489" s="82">
        <f t="shared" si="214"/>
        <v>0</v>
      </c>
      <c r="O489" s="82">
        <f t="shared" si="214"/>
        <v>0</v>
      </c>
    </row>
    <row r="490" spans="1:15" ht="15.75" hidden="1" x14ac:dyDescent="0.2">
      <c r="A490" s="138"/>
      <c r="B490" s="148"/>
      <c r="C490" s="96" t="s">
        <v>10</v>
      </c>
      <c r="D490" s="82">
        <f t="shared" si="211"/>
        <v>0</v>
      </c>
      <c r="E490" s="82">
        <v>0</v>
      </c>
      <c r="F490" s="82">
        <v>0</v>
      </c>
      <c r="G490" s="82">
        <v>0</v>
      </c>
      <c r="H490" s="82">
        <v>0</v>
      </c>
      <c r="I490" s="82">
        <v>0</v>
      </c>
      <c r="J490" s="82">
        <v>0</v>
      </c>
      <c r="K490" s="82">
        <v>0</v>
      </c>
      <c r="L490" s="82">
        <v>0</v>
      </c>
      <c r="M490" s="82">
        <v>0</v>
      </c>
      <c r="N490" s="82">
        <v>0</v>
      </c>
      <c r="O490" s="82">
        <v>0</v>
      </c>
    </row>
    <row r="491" spans="1:15" ht="15.75" hidden="1" x14ac:dyDescent="0.2">
      <c r="A491" s="138"/>
      <c r="B491" s="148"/>
      <c r="C491" s="96" t="s">
        <v>11</v>
      </c>
      <c r="D491" s="82">
        <f t="shared" si="211"/>
        <v>0</v>
      </c>
      <c r="E491" s="82">
        <v>0</v>
      </c>
      <c r="F491" s="82">
        <v>0</v>
      </c>
      <c r="G491" s="82">
        <v>0</v>
      </c>
      <c r="H491" s="82">
        <v>0</v>
      </c>
      <c r="I491" s="82">
        <v>0</v>
      </c>
      <c r="J491" s="82">
        <v>0</v>
      </c>
      <c r="K491" s="82">
        <v>0</v>
      </c>
      <c r="L491" s="82">
        <v>0</v>
      </c>
      <c r="M491" s="82">
        <v>0</v>
      </c>
      <c r="N491" s="82">
        <v>0</v>
      </c>
      <c r="O491" s="82">
        <v>0</v>
      </c>
    </row>
    <row r="492" spans="1:15" ht="15.75" hidden="1" x14ac:dyDescent="0.2">
      <c r="A492" s="138"/>
      <c r="B492" s="148"/>
      <c r="C492" s="96" t="s">
        <v>12</v>
      </c>
      <c r="D492" s="82">
        <f t="shared" si="211"/>
        <v>0</v>
      </c>
      <c r="E492" s="82">
        <v>0</v>
      </c>
      <c r="F492" s="82">
        <v>0</v>
      </c>
      <c r="G492" s="82">
        <v>0</v>
      </c>
      <c r="H492" s="82">
        <v>0</v>
      </c>
      <c r="I492" s="82">
        <v>0</v>
      </c>
      <c r="J492" s="82">
        <v>0</v>
      </c>
      <c r="K492" s="82">
        <v>0</v>
      </c>
      <c r="L492" s="82">
        <v>0</v>
      </c>
      <c r="M492" s="82">
        <v>0</v>
      </c>
      <c r="N492" s="82">
        <v>0</v>
      </c>
      <c r="O492" s="82">
        <f>N492*104%</f>
        <v>0</v>
      </c>
    </row>
    <row r="493" spans="1:15" ht="18" hidden="1" customHeight="1" x14ac:dyDescent="0.2">
      <c r="A493" s="138"/>
      <c r="B493" s="148"/>
      <c r="C493" s="96" t="s">
        <v>13</v>
      </c>
      <c r="D493" s="82">
        <f t="shared" si="211"/>
        <v>0</v>
      </c>
      <c r="E493" s="82">
        <v>0</v>
      </c>
      <c r="F493" s="82">
        <v>0</v>
      </c>
      <c r="G493" s="82">
        <v>0</v>
      </c>
      <c r="H493" s="82">
        <v>0</v>
      </c>
      <c r="I493" s="82">
        <v>0</v>
      </c>
      <c r="J493" s="82">
        <v>0</v>
      </c>
      <c r="K493" s="82">
        <v>0</v>
      </c>
      <c r="L493" s="82">
        <v>0</v>
      </c>
      <c r="M493" s="82">
        <v>0</v>
      </c>
      <c r="N493" s="82">
        <v>0</v>
      </c>
      <c r="O493" s="82">
        <v>0</v>
      </c>
    </row>
    <row r="494" spans="1:15" ht="18" customHeight="1" x14ac:dyDescent="0.2">
      <c r="A494" s="138" t="s">
        <v>291</v>
      </c>
      <c r="B494" s="150" t="s">
        <v>403</v>
      </c>
      <c r="C494" s="83" t="s">
        <v>7</v>
      </c>
      <c r="D494" s="82">
        <f t="shared" si="211"/>
        <v>1052.5999999999999</v>
      </c>
      <c r="E494" s="82">
        <f>E495+E496+E497+E498</f>
        <v>0</v>
      </c>
      <c r="F494" s="82">
        <f t="shared" ref="F494:O494" si="215">F495+F496+F497+F498</f>
        <v>0</v>
      </c>
      <c r="G494" s="82">
        <f t="shared" si="215"/>
        <v>0</v>
      </c>
      <c r="H494" s="82">
        <f t="shared" si="215"/>
        <v>0</v>
      </c>
      <c r="I494" s="82">
        <f t="shared" si="215"/>
        <v>0</v>
      </c>
      <c r="J494" s="82">
        <f t="shared" si="215"/>
        <v>0</v>
      </c>
      <c r="K494" s="82">
        <f t="shared" si="215"/>
        <v>1052.5999999999999</v>
      </c>
      <c r="L494" s="82">
        <f t="shared" si="215"/>
        <v>0</v>
      </c>
      <c r="M494" s="82">
        <f t="shared" si="215"/>
        <v>0</v>
      </c>
      <c r="N494" s="82">
        <f t="shared" si="215"/>
        <v>0</v>
      </c>
      <c r="O494" s="82">
        <f t="shared" si="215"/>
        <v>0</v>
      </c>
    </row>
    <row r="495" spans="1:15" ht="18" customHeight="1" x14ac:dyDescent="0.2">
      <c r="A495" s="138"/>
      <c r="B495" s="151"/>
      <c r="C495" s="96" t="s">
        <v>10</v>
      </c>
      <c r="D495" s="82">
        <f t="shared" si="211"/>
        <v>0</v>
      </c>
      <c r="E495" s="82">
        <v>0</v>
      </c>
      <c r="F495" s="82">
        <v>0</v>
      </c>
      <c r="G495" s="82">
        <v>0</v>
      </c>
      <c r="H495" s="82">
        <v>0</v>
      </c>
      <c r="I495" s="82">
        <v>0</v>
      </c>
      <c r="J495" s="82">
        <v>0</v>
      </c>
      <c r="K495" s="82">
        <v>0</v>
      </c>
      <c r="L495" s="82">
        <v>0</v>
      </c>
      <c r="M495" s="82">
        <v>0</v>
      </c>
      <c r="N495" s="82">
        <v>0</v>
      </c>
      <c r="O495" s="82">
        <v>0</v>
      </c>
    </row>
    <row r="496" spans="1:15" ht="18" customHeight="1" x14ac:dyDescent="0.2">
      <c r="A496" s="138"/>
      <c r="B496" s="151"/>
      <c r="C496" s="96" t="s">
        <v>11</v>
      </c>
      <c r="D496" s="82">
        <f t="shared" si="211"/>
        <v>0</v>
      </c>
      <c r="E496" s="82">
        <v>0</v>
      </c>
      <c r="F496" s="82">
        <v>0</v>
      </c>
      <c r="G496" s="82">
        <v>0</v>
      </c>
      <c r="H496" s="82">
        <v>0</v>
      </c>
      <c r="I496" s="82">
        <v>0</v>
      </c>
      <c r="J496" s="82">
        <v>0</v>
      </c>
      <c r="K496" s="82">
        <v>0</v>
      </c>
      <c r="L496" s="82">
        <v>0</v>
      </c>
      <c r="M496" s="82">
        <v>0</v>
      </c>
      <c r="N496" s="82">
        <v>0</v>
      </c>
      <c r="O496" s="82">
        <v>0</v>
      </c>
    </row>
    <row r="497" spans="1:15" ht="18" customHeight="1" x14ac:dyDescent="0.2">
      <c r="A497" s="138"/>
      <c r="B497" s="151"/>
      <c r="C497" s="96" t="s">
        <v>12</v>
      </c>
      <c r="D497" s="82">
        <f t="shared" si="211"/>
        <v>1052.5999999999999</v>
      </c>
      <c r="E497" s="82">
        <v>0</v>
      </c>
      <c r="F497" s="82">
        <v>0</v>
      </c>
      <c r="G497" s="82">
        <v>0</v>
      </c>
      <c r="H497" s="82">
        <v>0</v>
      </c>
      <c r="I497" s="82">
        <v>0</v>
      </c>
      <c r="J497" s="82">
        <v>0</v>
      </c>
      <c r="K497" s="82">
        <v>1052.5999999999999</v>
      </c>
      <c r="L497" s="82">
        <v>0</v>
      </c>
      <c r="M497" s="82">
        <v>0</v>
      </c>
      <c r="N497" s="82">
        <v>0</v>
      </c>
      <c r="O497" s="82">
        <v>0</v>
      </c>
    </row>
    <row r="498" spans="1:15" ht="33" customHeight="1" x14ac:dyDescent="0.2">
      <c r="A498" s="138"/>
      <c r="B498" s="152"/>
      <c r="C498" s="96" t="s">
        <v>13</v>
      </c>
      <c r="D498" s="82">
        <f t="shared" si="211"/>
        <v>0</v>
      </c>
      <c r="E498" s="82">
        <v>0</v>
      </c>
      <c r="F498" s="82">
        <v>0</v>
      </c>
      <c r="G498" s="82">
        <v>0</v>
      </c>
      <c r="H498" s="82">
        <v>0</v>
      </c>
      <c r="I498" s="82">
        <v>0</v>
      </c>
      <c r="J498" s="82">
        <v>0</v>
      </c>
      <c r="K498" s="82">
        <v>0</v>
      </c>
      <c r="L498" s="82">
        <v>0</v>
      </c>
      <c r="M498" s="82">
        <v>0</v>
      </c>
      <c r="N498" s="82">
        <v>0</v>
      </c>
      <c r="O498" s="82">
        <v>0</v>
      </c>
    </row>
    <row r="499" spans="1:15" ht="18" customHeight="1" x14ac:dyDescent="0.2">
      <c r="A499" s="138" t="s">
        <v>434</v>
      </c>
      <c r="B499" s="143" t="s">
        <v>433</v>
      </c>
      <c r="C499" s="83" t="s">
        <v>7</v>
      </c>
      <c r="D499" s="69">
        <f t="shared" si="211"/>
        <v>1285.4000000000003</v>
      </c>
      <c r="E499" s="82">
        <f>E500+E501+E502+E503</f>
        <v>0</v>
      </c>
      <c r="F499" s="82">
        <f t="shared" ref="F499:H499" si="216">F500+F501+F502+F503</f>
        <v>0</v>
      </c>
      <c r="G499" s="82">
        <f t="shared" si="216"/>
        <v>0</v>
      </c>
      <c r="H499" s="82">
        <f t="shared" si="216"/>
        <v>0</v>
      </c>
      <c r="I499" s="82">
        <f>I500+I501+I502+I503</f>
        <v>0</v>
      </c>
      <c r="J499" s="82">
        <f t="shared" ref="J499:O499" si="217">J500+J501+J502+J503</f>
        <v>0</v>
      </c>
      <c r="K499" s="82">
        <f t="shared" si="217"/>
        <v>0</v>
      </c>
      <c r="L499" s="82">
        <f t="shared" si="217"/>
        <v>1285.4000000000003</v>
      </c>
      <c r="M499" s="82">
        <f t="shared" si="217"/>
        <v>0</v>
      </c>
      <c r="N499" s="82">
        <f t="shared" si="217"/>
        <v>0</v>
      </c>
      <c r="O499" s="82">
        <f t="shared" si="217"/>
        <v>0</v>
      </c>
    </row>
    <row r="500" spans="1:15" ht="18" customHeight="1" x14ac:dyDescent="0.2">
      <c r="A500" s="138"/>
      <c r="B500" s="144"/>
      <c r="C500" s="96" t="s">
        <v>10</v>
      </c>
      <c r="D500" s="69">
        <f t="shared" si="211"/>
        <v>0</v>
      </c>
      <c r="E500" s="82">
        <v>0</v>
      </c>
      <c r="F500" s="82">
        <v>0</v>
      </c>
      <c r="G500" s="82">
        <v>0</v>
      </c>
      <c r="H500" s="82">
        <v>0</v>
      </c>
      <c r="I500" s="82">
        <v>0</v>
      </c>
      <c r="J500" s="82">
        <v>0</v>
      </c>
      <c r="K500" s="82">
        <v>0</v>
      </c>
      <c r="L500" s="82">
        <v>0</v>
      </c>
      <c r="M500" s="82">
        <v>0</v>
      </c>
      <c r="N500" s="82">
        <v>0</v>
      </c>
      <c r="O500" s="82">
        <v>0</v>
      </c>
    </row>
    <row r="501" spans="1:15" ht="18" customHeight="1" x14ac:dyDescent="0.2">
      <c r="A501" s="138"/>
      <c r="B501" s="144"/>
      <c r="C501" s="96" t="s">
        <v>11</v>
      </c>
      <c r="D501" s="69">
        <f>E501+F501+G501+H501+I501+J501+K501+L501+M501+N501+O501</f>
        <v>0</v>
      </c>
      <c r="E501" s="82">
        <v>0</v>
      </c>
      <c r="F501" s="82">
        <v>0</v>
      </c>
      <c r="G501" s="82">
        <v>0</v>
      </c>
      <c r="H501" s="82">
        <v>0</v>
      </c>
      <c r="I501" s="82">
        <v>0</v>
      </c>
      <c r="J501" s="82">
        <v>0</v>
      </c>
      <c r="K501" s="82">
        <v>0</v>
      </c>
      <c r="L501" s="82">
        <v>0</v>
      </c>
      <c r="M501" s="82">
        <v>0</v>
      </c>
      <c r="N501" s="82">
        <v>0</v>
      </c>
      <c r="O501" s="82">
        <v>0</v>
      </c>
    </row>
    <row r="502" spans="1:15" ht="18" customHeight="1" x14ac:dyDescent="0.2">
      <c r="A502" s="138"/>
      <c r="B502" s="144"/>
      <c r="C502" s="96" t="s">
        <v>12</v>
      </c>
      <c r="D502" s="69">
        <f t="shared" ref="D502:D503" si="218">E502+F502+G502+H502+I502+J502+K502+L502+M502+N502+O502</f>
        <v>1285.4000000000003</v>
      </c>
      <c r="E502" s="82">
        <v>0</v>
      </c>
      <c r="F502" s="82">
        <v>0</v>
      </c>
      <c r="G502" s="82">
        <v>0</v>
      </c>
      <c r="H502" s="82">
        <v>0</v>
      </c>
      <c r="I502" s="82">
        <v>0</v>
      </c>
      <c r="J502" s="82">
        <v>0</v>
      </c>
      <c r="K502" s="82">
        <v>0</v>
      </c>
      <c r="L502" s="82">
        <f>2677.9-256.7-1135.8</f>
        <v>1285.4000000000003</v>
      </c>
      <c r="M502" s="82">
        <v>0</v>
      </c>
      <c r="N502" s="82">
        <v>0</v>
      </c>
      <c r="O502" s="82">
        <v>0</v>
      </c>
    </row>
    <row r="503" spans="1:15" ht="38.25" customHeight="1" x14ac:dyDescent="0.2">
      <c r="A503" s="138"/>
      <c r="B503" s="145"/>
      <c r="C503" s="96" t="s">
        <v>13</v>
      </c>
      <c r="D503" s="69">
        <f t="shared" si="218"/>
        <v>0</v>
      </c>
      <c r="E503" s="82">
        <v>0</v>
      </c>
      <c r="F503" s="82">
        <v>0</v>
      </c>
      <c r="G503" s="82">
        <v>0</v>
      </c>
      <c r="H503" s="82">
        <v>0</v>
      </c>
      <c r="I503" s="82">
        <v>0</v>
      </c>
      <c r="J503" s="82">
        <v>0</v>
      </c>
      <c r="K503" s="82">
        <v>0</v>
      </c>
      <c r="L503" s="82">
        <v>0</v>
      </c>
      <c r="M503" s="82">
        <v>0</v>
      </c>
      <c r="N503" s="82">
        <v>0</v>
      </c>
      <c r="O503" s="82">
        <v>0</v>
      </c>
    </row>
    <row r="504" spans="1:15" ht="15.75" x14ac:dyDescent="0.2">
      <c r="A504" s="138" t="s">
        <v>312</v>
      </c>
      <c r="B504" s="147" t="s">
        <v>369</v>
      </c>
      <c r="C504" s="83" t="s">
        <v>7</v>
      </c>
      <c r="D504" s="82">
        <f t="shared" si="211"/>
        <v>424805.23</v>
      </c>
      <c r="E504" s="82">
        <f>E505+E506+E507+E508</f>
        <v>0</v>
      </c>
      <c r="F504" s="82">
        <f t="shared" ref="F504:O504" si="219">F505+F506+F507+F508</f>
        <v>0</v>
      </c>
      <c r="G504" s="82">
        <f t="shared" si="219"/>
        <v>0</v>
      </c>
      <c r="H504" s="82">
        <f t="shared" si="219"/>
        <v>0</v>
      </c>
      <c r="I504" s="82">
        <f t="shared" si="219"/>
        <v>0</v>
      </c>
      <c r="J504" s="82">
        <f t="shared" si="219"/>
        <v>208238.7</v>
      </c>
      <c r="K504" s="82">
        <f>K505+K506+K507+K508</f>
        <v>216566.53</v>
      </c>
      <c r="L504" s="82">
        <f t="shared" si="219"/>
        <v>0</v>
      </c>
      <c r="M504" s="82">
        <f t="shared" si="219"/>
        <v>0</v>
      </c>
      <c r="N504" s="82">
        <f t="shared" si="219"/>
        <v>0</v>
      </c>
      <c r="O504" s="82">
        <f t="shared" si="219"/>
        <v>0</v>
      </c>
    </row>
    <row r="505" spans="1:15" ht="15.75" x14ac:dyDescent="0.2">
      <c r="A505" s="138"/>
      <c r="B505" s="148"/>
      <c r="C505" s="96" t="s">
        <v>10</v>
      </c>
      <c r="D505" s="82">
        <f t="shared" si="211"/>
        <v>115023.2</v>
      </c>
      <c r="E505" s="82">
        <f t="shared" ref="E505:O505" si="220">E510+E515</f>
        <v>0</v>
      </c>
      <c r="F505" s="82">
        <f t="shared" si="220"/>
        <v>0</v>
      </c>
      <c r="G505" s="82">
        <f t="shared" si="220"/>
        <v>0</v>
      </c>
      <c r="H505" s="82">
        <f t="shared" si="220"/>
        <v>0</v>
      </c>
      <c r="I505" s="82">
        <f t="shared" si="220"/>
        <v>0</v>
      </c>
      <c r="J505" s="82">
        <f t="shared" si="220"/>
        <v>0</v>
      </c>
      <c r="K505" s="82">
        <f t="shared" si="220"/>
        <v>115023.2</v>
      </c>
      <c r="L505" s="82">
        <f t="shared" si="220"/>
        <v>0</v>
      </c>
      <c r="M505" s="82">
        <f t="shared" si="220"/>
        <v>0</v>
      </c>
      <c r="N505" s="82">
        <f t="shared" si="220"/>
        <v>0</v>
      </c>
      <c r="O505" s="82">
        <f t="shared" si="220"/>
        <v>0</v>
      </c>
    </row>
    <row r="506" spans="1:15" ht="15.75" x14ac:dyDescent="0.2">
      <c r="A506" s="138"/>
      <c r="B506" s="148"/>
      <c r="C506" s="96" t="s">
        <v>11</v>
      </c>
      <c r="D506" s="82">
        <f t="shared" si="211"/>
        <v>287838.81</v>
      </c>
      <c r="E506" s="82">
        <f>E511+E516</f>
        <v>0</v>
      </c>
      <c r="F506" s="82">
        <f t="shared" ref="F506:O506" si="221">F511+F516</f>
        <v>0</v>
      </c>
      <c r="G506" s="82">
        <f t="shared" si="221"/>
        <v>0</v>
      </c>
      <c r="H506" s="82">
        <f t="shared" si="221"/>
        <v>0</v>
      </c>
      <c r="I506" s="82">
        <f t="shared" si="221"/>
        <v>0</v>
      </c>
      <c r="J506" s="82">
        <f t="shared" si="221"/>
        <v>193000</v>
      </c>
      <c r="K506" s="82">
        <f t="shared" si="221"/>
        <v>94838.81</v>
      </c>
      <c r="L506" s="82">
        <f t="shared" si="221"/>
        <v>0</v>
      </c>
      <c r="M506" s="82">
        <f t="shared" si="221"/>
        <v>0</v>
      </c>
      <c r="N506" s="82">
        <f t="shared" si="221"/>
        <v>0</v>
      </c>
      <c r="O506" s="82">
        <f t="shared" si="221"/>
        <v>0</v>
      </c>
    </row>
    <row r="507" spans="1:15" ht="15.75" x14ac:dyDescent="0.2">
      <c r="A507" s="138"/>
      <c r="B507" s="148"/>
      <c r="C507" s="96" t="s">
        <v>12</v>
      </c>
      <c r="D507" s="82">
        <f t="shared" si="211"/>
        <v>21943.22</v>
      </c>
      <c r="E507" s="82">
        <f>E512+E517</f>
        <v>0</v>
      </c>
      <c r="F507" s="82">
        <f t="shared" ref="F507:O507" si="222">F512+F517</f>
        <v>0</v>
      </c>
      <c r="G507" s="82">
        <f t="shared" si="222"/>
        <v>0</v>
      </c>
      <c r="H507" s="82">
        <f t="shared" si="222"/>
        <v>0</v>
      </c>
      <c r="I507" s="82">
        <f t="shared" si="222"/>
        <v>0</v>
      </c>
      <c r="J507" s="82">
        <f t="shared" si="222"/>
        <v>15238.7</v>
      </c>
      <c r="K507" s="82">
        <f>K512+K517+K522</f>
        <v>6704.52</v>
      </c>
      <c r="L507" s="82">
        <f t="shared" si="222"/>
        <v>0</v>
      </c>
      <c r="M507" s="82">
        <f t="shared" si="222"/>
        <v>0</v>
      </c>
      <c r="N507" s="82">
        <f t="shared" si="222"/>
        <v>0</v>
      </c>
      <c r="O507" s="82">
        <f t="shared" si="222"/>
        <v>0</v>
      </c>
    </row>
    <row r="508" spans="1:15" ht="15.75" x14ac:dyDescent="0.2">
      <c r="A508" s="138"/>
      <c r="B508" s="148"/>
      <c r="C508" s="96" t="s">
        <v>13</v>
      </c>
      <c r="D508" s="82">
        <f t="shared" si="211"/>
        <v>0</v>
      </c>
      <c r="E508" s="82">
        <f>E513+E518</f>
        <v>0</v>
      </c>
      <c r="F508" s="82">
        <f t="shared" ref="F508:O508" si="223">F513+F518</f>
        <v>0</v>
      </c>
      <c r="G508" s="82">
        <f t="shared" si="223"/>
        <v>0</v>
      </c>
      <c r="H508" s="82">
        <f t="shared" si="223"/>
        <v>0</v>
      </c>
      <c r="I508" s="82">
        <f t="shared" si="223"/>
        <v>0</v>
      </c>
      <c r="J508" s="82">
        <f t="shared" si="223"/>
        <v>0</v>
      </c>
      <c r="K508" s="82">
        <f t="shared" si="223"/>
        <v>0</v>
      </c>
      <c r="L508" s="82">
        <f t="shared" si="223"/>
        <v>0</v>
      </c>
      <c r="M508" s="82">
        <f t="shared" si="223"/>
        <v>0</v>
      </c>
      <c r="N508" s="82">
        <f t="shared" si="223"/>
        <v>0</v>
      </c>
      <c r="O508" s="82">
        <f t="shared" si="223"/>
        <v>0</v>
      </c>
    </row>
    <row r="509" spans="1:15" ht="29.25" customHeight="1" x14ac:dyDescent="0.2">
      <c r="A509" s="138" t="s">
        <v>332</v>
      </c>
      <c r="B509" s="147" t="s">
        <v>398</v>
      </c>
      <c r="C509" s="83" t="s">
        <v>7</v>
      </c>
      <c r="D509" s="69">
        <f t="shared" si="211"/>
        <v>420220.53</v>
      </c>
      <c r="E509" s="69">
        <f>E510+E511+E512+E513</f>
        <v>0</v>
      </c>
      <c r="F509" s="69">
        <f t="shared" ref="F509:O509" si="224">F510+F511+F512+F513</f>
        <v>0</v>
      </c>
      <c r="G509" s="69">
        <f t="shared" si="224"/>
        <v>0</v>
      </c>
      <c r="H509" s="69">
        <f t="shared" si="224"/>
        <v>0</v>
      </c>
      <c r="I509" s="69">
        <f t="shared" si="224"/>
        <v>0</v>
      </c>
      <c r="J509" s="69">
        <f t="shared" si="224"/>
        <v>208238.7</v>
      </c>
      <c r="K509" s="69">
        <f t="shared" si="224"/>
        <v>211981.83000000002</v>
      </c>
      <c r="L509" s="69">
        <f t="shared" si="224"/>
        <v>0</v>
      </c>
      <c r="M509" s="69">
        <f t="shared" si="224"/>
        <v>0</v>
      </c>
      <c r="N509" s="69">
        <f t="shared" si="224"/>
        <v>0</v>
      </c>
      <c r="O509" s="69">
        <f t="shared" si="224"/>
        <v>0</v>
      </c>
    </row>
    <row r="510" spans="1:15" ht="24" customHeight="1" x14ac:dyDescent="0.2">
      <c r="A510" s="138"/>
      <c r="B510" s="148"/>
      <c r="C510" s="96" t="s">
        <v>10</v>
      </c>
      <c r="D510" s="69">
        <f t="shared" si="211"/>
        <v>115023.2</v>
      </c>
      <c r="E510" s="69">
        <v>0</v>
      </c>
      <c r="F510" s="69">
        <v>0</v>
      </c>
      <c r="G510" s="69">
        <v>0</v>
      </c>
      <c r="H510" s="69">
        <v>0</v>
      </c>
      <c r="I510" s="69">
        <v>0</v>
      </c>
      <c r="J510" s="69">
        <v>0</v>
      </c>
      <c r="K510" s="69">
        <v>115023.2</v>
      </c>
      <c r="L510" s="69">
        <v>0</v>
      </c>
      <c r="M510" s="69">
        <v>0</v>
      </c>
      <c r="N510" s="69">
        <v>0</v>
      </c>
      <c r="O510" s="69">
        <v>0</v>
      </c>
    </row>
    <row r="511" spans="1:15" ht="24" customHeight="1" x14ac:dyDescent="0.2">
      <c r="A511" s="138"/>
      <c r="B511" s="148"/>
      <c r="C511" s="96" t="s">
        <v>11</v>
      </c>
      <c r="D511" s="69">
        <f t="shared" si="211"/>
        <v>287838.81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193000</v>
      </c>
      <c r="K511" s="69">
        <v>94838.81</v>
      </c>
      <c r="L511" s="69">
        <v>0</v>
      </c>
      <c r="M511" s="69">
        <v>0</v>
      </c>
      <c r="N511" s="69">
        <v>0</v>
      </c>
      <c r="O511" s="69">
        <v>0</v>
      </c>
    </row>
    <row r="512" spans="1:15" ht="20.25" customHeight="1" x14ac:dyDescent="0.2">
      <c r="A512" s="138"/>
      <c r="B512" s="148"/>
      <c r="C512" s="96" t="s">
        <v>12</v>
      </c>
      <c r="D512" s="69">
        <f t="shared" si="211"/>
        <v>17358.52</v>
      </c>
      <c r="E512" s="69">
        <v>0</v>
      </c>
      <c r="F512" s="69">
        <v>0</v>
      </c>
      <c r="G512" s="69">
        <v>0</v>
      </c>
      <c r="H512" s="69">
        <v>0</v>
      </c>
      <c r="I512" s="69">
        <v>0</v>
      </c>
      <c r="J512" s="69">
        <f>12319.1+2918+1.6</f>
        <v>15238.7</v>
      </c>
      <c r="K512" s="69">
        <v>2119.8200000000002</v>
      </c>
      <c r="L512" s="69">
        <v>0</v>
      </c>
      <c r="M512" s="69">
        <v>0</v>
      </c>
      <c r="N512" s="69">
        <v>0</v>
      </c>
      <c r="O512" s="69">
        <v>0</v>
      </c>
    </row>
    <row r="513" spans="1:15" ht="30.75" customHeight="1" x14ac:dyDescent="0.2">
      <c r="A513" s="138"/>
      <c r="B513" s="148"/>
      <c r="C513" s="96" t="s">
        <v>13</v>
      </c>
      <c r="D513" s="69">
        <f t="shared" si="211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</row>
    <row r="514" spans="1:15" ht="25.5" customHeight="1" x14ac:dyDescent="0.2">
      <c r="A514" s="143" t="s">
        <v>376</v>
      </c>
      <c r="B514" s="147" t="s">
        <v>421</v>
      </c>
      <c r="C514" s="83" t="s">
        <v>7</v>
      </c>
      <c r="D514" s="69">
        <f>E514+F514+G514+H514+I514+J514+K514+L514+M514+N514+O514</f>
        <v>4584.7</v>
      </c>
      <c r="E514" s="69">
        <f>E515+E516+E517+E518</f>
        <v>0</v>
      </c>
      <c r="F514" s="69">
        <f t="shared" ref="F514:O514" si="225">F515+F516+F517+F518</f>
        <v>0</v>
      </c>
      <c r="G514" s="69">
        <f t="shared" si="225"/>
        <v>0</v>
      </c>
      <c r="H514" s="69">
        <f t="shared" si="225"/>
        <v>0</v>
      </c>
      <c r="I514" s="69">
        <f t="shared" si="225"/>
        <v>0</v>
      </c>
      <c r="J514" s="69">
        <f t="shared" si="225"/>
        <v>0</v>
      </c>
      <c r="K514" s="69">
        <f t="shared" si="225"/>
        <v>4584.7</v>
      </c>
      <c r="L514" s="69">
        <f t="shared" si="225"/>
        <v>0</v>
      </c>
      <c r="M514" s="69">
        <f t="shared" si="225"/>
        <v>0</v>
      </c>
      <c r="N514" s="69">
        <f t="shared" si="225"/>
        <v>0</v>
      </c>
      <c r="O514" s="69">
        <f t="shared" si="225"/>
        <v>0</v>
      </c>
    </row>
    <row r="515" spans="1:15" ht="25.5" customHeight="1" x14ac:dyDescent="0.2">
      <c r="A515" s="144"/>
      <c r="B515" s="148"/>
      <c r="C515" s="96" t="s">
        <v>10</v>
      </c>
      <c r="D515" s="69">
        <f t="shared" ref="D515:D523" si="226">E515+F515+G515+H515+I515+J515+K515+L515+M515+N515+O515</f>
        <v>0</v>
      </c>
      <c r="E515" s="69">
        <v>0</v>
      </c>
      <c r="F515" s="69">
        <v>0</v>
      </c>
      <c r="G515" s="69">
        <v>0</v>
      </c>
      <c r="H515" s="69">
        <v>0</v>
      </c>
      <c r="I515" s="69">
        <v>0</v>
      </c>
      <c r="J515" s="69">
        <v>0</v>
      </c>
      <c r="K515" s="69">
        <v>0</v>
      </c>
      <c r="L515" s="69">
        <v>0</v>
      </c>
      <c r="M515" s="69">
        <v>0</v>
      </c>
      <c r="N515" s="69">
        <v>0</v>
      </c>
      <c r="O515" s="69">
        <v>0</v>
      </c>
    </row>
    <row r="516" spans="1:15" ht="25.5" customHeight="1" x14ac:dyDescent="0.2">
      <c r="A516" s="144"/>
      <c r="B516" s="148"/>
      <c r="C516" s="96" t="s">
        <v>11</v>
      </c>
      <c r="D516" s="69">
        <f t="shared" si="226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</row>
    <row r="517" spans="1:15" ht="25.5" customHeight="1" x14ac:dyDescent="0.2">
      <c r="A517" s="144"/>
      <c r="B517" s="148"/>
      <c r="C517" s="96" t="s">
        <v>12</v>
      </c>
      <c r="D517" s="69">
        <f t="shared" si="226"/>
        <v>4584.7</v>
      </c>
      <c r="E517" s="69">
        <v>0</v>
      </c>
      <c r="F517" s="69">
        <v>0</v>
      </c>
      <c r="G517" s="69">
        <v>0</v>
      </c>
      <c r="H517" s="69">
        <v>0</v>
      </c>
      <c r="I517" s="69">
        <v>0</v>
      </c>
      <c r="J517" s="69">
        <v>0</v>
      </c>
      <c r="K517" s="69">
        <f>4584.7</f>
        <v>4584.7</v>
      </c>
      <c r="L517" s="69">
        <v>0</v>
      </c>
      <c r="M517" s="69">
        <v>0</v>
      </c>
      <c r="N517" s="69">
        <v>0</v>
      </c>
      <c r="O517" s="69">
        <v>0</v>
      </c>
    </row>
    <row r="518" spans="1:15" ht="25.5" customHeight="1" x14ac:dyDescent="0.2">
      <c r="A518" s="145"/>
      <c r="B518" s="148"/>
      <c r="C518" s="96" t="s">
        <v>13</v>
      </c>
      <c r="D518" s="69">
        <f t="shared" si="226"/>
        <v>0</v>
      </c>
      <c r="E518" s="69">
        <v>0</v>
      </c>
      <c r="F518" s="69">
        <v>0</v>
      </c>
      <c r="G518" s="69">
        <v>0</v>
      </c>
      <c r="H518" s="69">
        <v>0</v>
      </c>
      <c r="I518" s="69">
        <v>0</v>
      </c>
      <c r="J518" s="69">
        <v>0</v>
      </c>
      <c r="K518" s="69">
        <v>0</v>
      </c>
      <c r="L518" s="69">
        <v>0</v>
      </c>
      <c r="M518" s="69">
        <v>0</v>
      </c>
      <c r="N518" s="69">
        <v>0</v>
      </c>
      <c r="O518" s="69">
        <v>0</v>
      </c>
    </row>
    <row r="519" spans="1:15" ht="25.5" hidden="1" customHeight="1" x14ac:dyDescent="0.2">
      <c r="A519" s="143"/>
      <c r="B519" s="147" t="s">
        <v>399</v>
      </c>
      <c r="C519" s="83" t="s">
        <v>7</v>
      </c>
      <c r="D519" s="69">
        <f>E519+F519+G519+H519+I519+J519+K519+L519+M519+N519+O519</f>
        <v>0</v>
      </c>
      <c r="E519" s="69">
        <f>E520+E521+E522+E523</f>
        <v>0</v>
      </c>
      <c r="F519" s="69">
        <f t="shared" ref="F519:O519" si="227">F520+F521+F522+F523</f>
        <v>0</v>
      </c>
      <c r="G519" s="69">
        <f t="shared" si="227"/>
        <v>0</v>
      </c>
      <c r="H519" s="69">
        <f t="shared" si="227"/>
        <v>0</v>
      </c>
      <c r="I519" s="69">
        <f t="shared" si="227"/>
        <v>0</v>
      </c>
      <c r="J519" s="69">
        <f t="shared" si="227"/>
        <v>0</v>
      </c>
      <c r="K519" s="69">
        <f t="shared" si="227"/>
        <v>0</v>
      </c>
      <c r="L519" s="69">
        <f t="shared" si="227"/>
        <v>0</v>
      </c>
      <c r="M519" s="69">
        <f t="shared" si="227"/>
        <v>0</v>
      </c>
      <c r="N519" s="69">
        <f t="shared" si="227"/>
        <v>0</v>
      </c>
      <c r="O519" s="69">
        <f t="shared" si="227"/>
        <v>0</v>
      </c>
    </row>
    <row r="520" spans="1:15" ht="25.5" hidden="1" customHeight="1" x14ac:dyDescent="0.2">
      <c r="A520" s="144"/>
      <c r="B520" s="148"/>
      <c r="C520" s="96" t="s">
        <v>10</v>
      </c>
      <c r="D520" s="69">
        <f t="shared" si="226"/>
        <v>0</v>
      </c>
      <c r="E520" s="69">
        <v>0</v>
      </c>
      <c r="F520" s="69">
        <v>0</v>
      </c>
      <c r="G520" s="69">
        <v>0</v>
      </c>
      <c r="H520" s="69">
        <v>0</v>
      </c>
      <c r="I520" s="69">
        <v>0</v>
      </c>
      <c r="J520" s="69">
        <v>0</v>
      </c>
      <c r="K520" s="69">
        <v>0</v>
      </c>
      <c r="L520" s="69">
        <v>0</v>
      </c>
      <c r="M520" s="69">
        <v>0</v>
      </c>
      <c r="N520" s="69">
        <v>0</v>
      </c>
      <c r="O520" s="69">
        <v>0</v>
      </c>
    </row>
    <row r="521" spans="1:15" ht="25.5" hidden="1" customHeight="1" x14ac:dyDescent="0.2">
      <c r="A521" s="144"/>
      <c r="B521" s="148"/>
      <c r="C521" s="96" t="s">
        <v>11</v>
      </c>
      <c r="D521" s="69">
        <f t="shared" si="226"/>
        <v>0</v>
      </c>
      <c r="E521" s="69">
        <v>0</v>
      </c>
      <c r="F521" s="69">
        <v>0</v>
      </c>
      <c r="G521" s="69">
        <v>0</v>
      </c>
      <c r="H521" s="69">
        <v>0</v>
      </c>
      <c r="I521" s="69">
        <v>0</v>
      </c>
      <c r="J521" s="69">
        <v>0</v>
      </c>
      <c r="K521" s="69">
        <v>0</v>
      </c>
      <c r="L521" s="69">
        <v>0</v>
      </c>
      <c r="M521" s="69">
        <v>0</v>
      </c>
      <c r="N521" s="69">
        <v>0</v>
      </c>
      <c r="O521" s="69">
        <v>0</v>
      </c>
    </row>
    <row r="522" spans="1:15" ht="25.5" hidden="1" customHeight="1" x14ac:dyDescent="0.2">
      <c r="A522" s="144"/>
      <c r="B522" s="148"/>
      <c r="C522" s="96" t="s">
        <v>12</v>
      </c>
      <c r="D522" s="69">
        <f t="shared" si="226"/>
        <v>0</v>
      </c>
      <c r="E522" s="69">
        <v>0</v>
      </c>
      <c r="F522" s="69">
        <v>0</v>
      </c>
      <c r="G522" s="69">
        <v>0</v>
      </c>
      <c r="H522" s="69">
        <v>0</v>
      </c>
      <c r="I522" s="69">
        <v>0</v>
      </c>
      <c r="J522" s="69">
        <v>0</v>
      </c>
      <c r="K522" s="69">
        <f>1800-1800</f>
        <v>0</v>
      </c>
      <c r="L522" s="69">
        <v>0</v>
      </c>
      <c r="M522" s="69">
        <v>0</v>
      </c>
      <c r="N522" s="69">
        <v>0</v>
      </c>
      <c r="O522" s="69">
        <v>0</v>
      </c>
    </row>
    <row r="523" spans="1:15" ht="23.25" hidden="1" customHeight="1" x14ac:dyDescent="0.2">
      <c r="A523" s="145"/>
      <c r="B523" s="148"/>
      <c r="C523" s="96" t="s">
        <v>13</v>
      </c>
      <c r="D523" s="69">
        <f t="shared" si="226"/>
        <v>0</v>
      </c>
      <c r="E523" s="69">
        <v>0</v>
      </c>
      <c r="F523" s="69">
        <v>0</v>
      </c>
      <c r="G523" s="69">
        <v>0</v>
      </c>
      <c r="H523" s="69">
        <v>0</v>
      </c>
      <c r="I523" s="69">
        <v>0</v>
      </c>
      <c r="J523" s="69">
        <v>0</v>
      </c>
      <c r="K523" s="69">
        <v>0</v>
      </c>
      <c r="L523" s="69">
        <v>0</v>
      </c>
      <c r="M523" s="69">
        <v>0</v>
      </c>
      <c r="N523" s="69">
        <v>0</v>
      </c>
      <c r="O523" s="69">
        <v>0</v>
      </c>
    </row>
    <row r="524" spans="1:15" ht="15.75" x14ac:dyDescent="0.2">
      <c r="A524" s="138" t="s">
        <v>317</v>
      </c>
      <c r="B524" s="147" t="s">
        <v>370</v>
      </c>
      <c r="C524" s="83" t="s">
        <v>7</v>
      </c>
      <c r="D524" s="82">
        <f t="shared" si="211"/>
        <v>71929.2</v>
      </c>
      <c r="E524" s="82">
        <f t="shared" ref="E524:O524" si="228">E525+E526+E528+E530</f>
        <v>0</v>
      </c>
      <c r="F524" s="82">
        <f t="shared" si="228"/>
        <v>0</v>
      </c>
      <c r="G524" s="82">
        <f t="shared" si="228"/>
        <v>0</v>
      </c>
      <c r="H524" s="82">
        <f t="shared" si="228"/>
        <v>0</v>
      </c>
      <c r="I524" s="82">
        <f t="shared" si="228"/>
        <v>0</v>
      </c>
      <c r="J524" s="82">
        <f t="shared" si="228"/>
        <v>0</v>
      </c>
      <c r="K524" s="82">
        <f t="shared" si="228"/>
        <v>25529.200000000001</v>
      </c>
      <c r="L524" s="82">
        <f t="shared" si="228"/>
        <v>23200</v>
      </c>
      <c r="M524" s="82">
        <f t="shared" si="228"/>
        <v>23200</v>
      </c>
      <c r="N524" s="82">
        <f t="shared" si="228"/>
        <v>0</v>
      </c>
      <c r="O524" s="82">
        <f t="shared" si="228"/>
        <v>0</v>
      </c>
    </row>
    <row r="525" spans="1:15" ht="15.75" x14ac:dyDescent="0.2">
      <c r="A525" s="138"/>
      <c r="B525" s="148"/>
      <c r="C525" s="96" t="s">
        <v>10</v>
      </c>
      <c r="D525" s="82">
        <f t="shared" si="211"/>
        <v>0</v>
      </c>
      <c r="E525" s="82">
        <f>E532+E537</f>
        <v>0</v>
      </c>
      <c r="F525" s="82">
        <f t="shared" ref="F525:O525" si="229">F532+F537</f>
        <v>0</v>
      </c>
      <c r="G525" s="82">
        <f t="shared" si="229"/>
        <v>0</v>
      </c>
      <c r="H525" s="82">
        <f t="shared" si="229"/>
        <v>0</v>
      </c>
      <c r="I525" s="82">
        <f t="shared" si="229"/>
        <v>0</v>
      </c>
      <c r="J525" s="82">
        <f t="shared" si="229"/>
        <v>0</v>
      </c>
      <c r="K525" s="82">
        <f t="shared" si="229"/>
        <v>0</v>
      </c>
      <c r="L525" s="82">
        <f t="shared" si="229"/>
        <v>0</v>
      </c>
      <c r="M525" s="82">
        <f t="shared" si="229"/>
        <v>0</v>
      </c>
      <c r="N525" s="82">
        <f t="shared" si="229"/>
        <v>0</v>
      </c>
      <c r="O525" s="82">
        <f t="shared" si="229"/>
        <v>0</v>
      </c>
    </row>
    <row r="526" spans="1:15" ht="31.5" x14ac:dyDescent="0.2">
      <c r="A526" s="138"/>
      <c r="B526" s="148"/>
      <c r="C526" s="96" t="s">
        <v>69</v>
      </c>
      <c r="D526" s="82">
        <f t="shared" si="211"/>
        <v>67613.399999999994</v>
      </c>
      <c r="E526" s="82">
        <f>E533+E538</f>
        <v>0</v>
      </c>
      <c r="F526" s="82">
        <f t="shared" ref="F526:O526" si="230">F533+F538</f>
        <v>0</v>
      </c>
      <c r="G526" s="82">
        <f t="shared" si="230"/>
        <v>0</v>
      </c>
      <c r="H526" s="82">
        <f t="shared" si="230"/>
        <v>0</v>
      </c>
      <c r="I526" s="82">
        <f t="shared" si="230"/>
        <v>0</v>
      </c>
      <c r="J526" s="82">
        <f t="shared" si="230"/>
        <v>0</v>
      </c>
      <c r="K526" s="82">
        <f t="shared" si="230"/>
        <v>23997.4</v>
      </c>
      <c r="L526" s="82">
        <f t="shared" si="230"/>
        <v>21808</v>
      </c>
      <c r="M526" s="82">
        <f t="shared" si="230"/>
        <v>21808</v>
      </c>
      <c r="N526" s="82">
        <f t="shared" si="230"/>
        <v>0</v>
      </c>
      <c r="O526" s="82">
        <f t="shared" si="230"/>
        <v>0</v>
      </c>
    </row>
    <row r="527" spans="1:15" ht="39.75" customHeight="1" x14ac:dyDescent="0.2">
      <c r="A527" s="138"/>
      <c r="B527" s="148"/>
      <c r="C527" s="72" t="s">
        <v>81</v>
      </c>
      <c r="D527" s="71">
        <f t="shared" si="211"/>
        <v>43616</v>
      </c>
      <c r="E527" s="71">
        <v>0</v>
      </c>
      <c r="F527" s="71">
        <v>0</v>
      </c>
      <c r="G527" s="71">
        <v>0</v>
      </c>
      <c r="H527" s="71">
        <v>0</v>
      </c>
      <c r="I527" s="71">
        <v>0</v>
      </c>
      <c r="J527" s="71">
        <v>0</v>
      </c>
      <c r="K527" s="71">
        <v>0</v>
      </c>
      <c r="L527" s="71">
        <v>21808</v>
      </c>
      <c r="M527" s="71">
        <v>21808</v>
      </c>
      <c r="N527" s="71">
        <v>0</v>
      </c>
      <c r="O527" s="71">
        <v>0</v>
      </c>
    </row>
    <row r="528" spans="1:15" ht="31.5" x14ac:dyDescent="0.2">
      <c r="A528" s="138"/>
      <c r="B528" s="148"/>
      <c r="C528" s="96" t="s">
        <v>65</v>
      </c>
      <c r="D528" s="82">
        <f t="shared" si="211"/>
        <v>4315.8</v>
      </c>
      <c r="E528" s="82">
        <f>E534+E540</f>
        <v>0</v>
      </c>
      <c r="F528" s="82">
        <f t="shared" ref="F528:O528" si="231">F534+F540</f>
        <v>0</v>
      </c>
      <c r="G528" s="82">
        <f t="shared" si="231"/>
        <v>0</v>
      </c>
      <c r="H528" s="82">
        <f t="shared" si="231"/>
        <v>0</v>
      </c>
      <c r="I528" s="82">
        <f t="shared" si="231"/>
        <v>0</v>
      </c>
      <c r="J528" s="82">
        <f t="shared" si="231"/>
        <v>0</v>
      </c>
      <c r="K528" s="82">
        <f t="shared" si="231"/>
        <v>1531.8</v>
      </c>
      <c r="L528" s="82">
        <f t="shared" si="231"/>
        <v>1392</v>
      </c>
      <c r="M528" s="82">
        <f t="shared" si="231"/>
        <v>1392</v>
      </c>
      <c r="N528" s="82">
        <f t="shared" si="231"/>
        <v>0</v>
      </c>
      <c r="O528" s="82">
        <f t="shared" si="231"/>
        <v>0</v>
      </c>
    </row>
    <row r="529" spans="1:23" ht="31.5" x14ac:dyDescent="0.2">
      <c r="A529" s="138"/>
      <c r="B529" s="148"/>
      <c r="C529" s="72" t="s">
        <v>448</v>
      </c>
      <c r="D529" s="71">
        <f t="shared" si="211"/>
        <v>2784</v>
      </c>
      <c r="E529" s="69">
        <v>0</v>
      </c>
      <c r="F529" s="69">
        <v>0</v>
      </c>
      <c r="G529" s="69">
        <v>0</v>
      </c>
      <c r="H529" s="69">
        <v>0</v>
      </c>
      <c r="I529" s="69">
        <v>0</v>
      </c>
      <c r="J529" s="69">
        <v>0</v>
      </c>
      <c r="K529" s="71">
        <v>0</v>
      </c>
      <c r="L529" s="71">
        <v>1392</v>
      </c>
      <c r="M529" s="71">
        <v>1392</v>
      </c>
      <c r="N529" s="71">
        <v>0</v>
      </c>
      <c r="O529" s="71">
        <v>0</v>
      </c>
    </row>
    <row r="530" spans="1:23" ht="32.25" customHeight="1" x14ac:dyDescent="0.2">
      <c r="A530" s="138"/>
      <c r="B530" s="148"/>
      <c r="C530" s="96" t="s">
        <v>13</v>
      </c>
      <c r="D530" s="82">
        <f t="shared" si="211"/>
        <v>0</v>
      </c>
      <c r="E530" s="82">
        <f>E535+E542</f>
        <v>0</v>
      </c>
      <c r="F530" s="82">
        <f t="shared" ref="F530:O530" si="232">F535+F542</f>
        <v>0</v>
      </c>
      <c r="G530" s="82">
        <f t="shared" si="232"/>
        <v>0</v>
      </c>
      <c r="H530" s="82">
        <f t="shared" si="232"/>
        <v>0</v>
      </c>
      <c r="I530" s="82">
        <f t="shared" si="232"/>
        <v>0</v>
      </c>
      <c r="J530" s="82">
        <f t="shared" si="232"/>
        <v>0</v>
      </c>
      <c r="K530" s="82">
        <f t="shared" si="232"/>
        <v>0</v>
      </c>
      <c r="L530" s="82">
        <f t="shared" si="232"/>
        <v>0</v>
      </c>
      <c r="M530" s="82">
        <f t="shared" si="232"/>
        <v>0</v>
      </c>
      <c r="N530" s="82">
        <f t="shared" si="232"/>
        <v>0</v>
      </c>
      <c r="O530" s="82">
        <f t="shared" si="232"/>
        <v>0</v>
      </c>
    </row>
    <row r="531" spans="1:23" ht="15.75" hidden="1" x14ac:dyDescent="0.2">
      <c r="A531" s="138" t="s">
        <v>333</v>
      </c>
      <c r="B531" s="147" t="s">
        <v>318</v>
      </c>
      <c r="C531" s="83" t="s">
        <v>7</v>
      </c>
      <c r="D531" s="69">
        <f t="shared" si="211"/>
        <v>0</v>
      </c>
      <c r="E531" s="69">
        <f t="shared" ref="E531:J531" si="233">E532+E533+E534+E535</f>
        <v>0</v>
      </c>
      <c r="F531" s="69">
        <f t="shared" si="233"/>
        <v>0</v>
      </c>
      <c r="G531" s="69">
        <f t="shared" si="233"/>
        <v>0</v>
      </c>
      <c r="H531" s="69">
        <f t="shared" si="233"/>
        <v>0</v>
      </c>
      <c r="I531" s="69">
        <f t="shared" si="233"/>
        <v>0</v>
      </c>
      <c r="J531" s="69">
        <f t="shared" si="233"/>
        <v>0</v>
      </c>
      <c r="K531" s="69">
        <f>K532+K533+K534+K535</f>
        <v>0</v>
      </c>
      <c r="L531" s="69">
        <f>L532+L533+L534+L535</f>
        <v>0</v>
      </c>
      <c r="M531" s="69">
        <f>M532+M533+M534+M535</f>
        <v>0</v>
      </c>
      <c r="N531" s="69">
        <f>N532+N533+N534+N535</f>
        <v>0</v>
      </c>
      <c r="O531" s="69">
        <f>O532+O533+O534+O535</f>
        <v>0</v>
      </c>
      <c r="W531" s="84"/>
    </row>
    <row r="532" spans="1:23" ht="15.75" hidden="1" x14ac:dyDescent="0.2">
      <c r="A532" s="138"/>
      <c r="B532" s="148"/>
      <c r="C532" s="96" t="s">
        <v>10</v>
      </c>
      <c r="D532" s="69">
        <f t="shared" si="211"/>
        <v>0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v>0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  <c r="W532" s="84"/>
    </row>
    <row r="533" spans="1:23" ht="15.75" hidden="1" x14ac:dyDescent="0.2">
      <c r="A533" s="138"/>
      <c r="B533" s="148"/>
      <c r="C533" s="96" t="s">
        <v>11</v>
      </c>
      <c r="D533" s="69">
        <f t="shared" ref="D533:D568" si="234">E533+F533+G533+H533+I533+J533+K533+L533+M533+N533+O533</f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W533" s="84"/>
    </row>
    <row r="534" spans="1:23" ht="15.75" hidden="1" x14ac:dyDescent="0.2">
      <c r="A534" s="138"/>
      <c r="B534" s="148"/>
      <c r="C534" s="96" t="s">
        <v>12</v>
      </c>
      <c r="D534" s="69">
        <f t="shared" si="234"/>
        <v>0</v>
      </c>
      <c r="E534" s="69">
        <v>0</v>
      </c>
      <c r="F534" s="69">
        <v>0</v>
      </c>
      <c r="G534" s="69">
        <v>0</v>
      </c>
      <c r="H534" s="69">
        <v>0</v>
      </c>
      <c r="I534" s="69">
        <v>0</v>
      </c>
      <c r="J534" s="69">
        <v>0</v>
      </c>
      <c r="K534" s="69">
        <v>0</v>
      </c>
      <c r="L534" s="69">
        <f>98.2-11-2.5-57.4-27.3</f>
        <v>0</v>
      </c>
      <c r="M534" s="69">
        <f>416.2-416.2</f>
        <v>0</v>
      </c>
      <c r="N534" s="69">
        <v>0</v>
      </c>
      <c r="O534" s="69">
        <v>0</v>
      </c>
      <c r="W534" s="84"/>
    </row>
    <row r="535" spans="1:23" ht="17.25" hidden="1" customHeight="1" x14ac:dyDescent="0.2">
      <c r="A535" s="138"/>
      <c r="B535" s="148"/>
      <c r="C535" s="96" t="s">
        <v>13</v>
      </c>
      <c r="D535" s="69">
        <f t="shared" si="234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W535" s="84"/>
    </row>
    <row r="536" spans="1:23" ht="17.25" customHeight="1" x14ac:dyDescent="0.2">
      <c r="A536" s="143" t="s">
        <v>333</v>
      </c>
      <c r="B536" s="143" t="s">
        <v>375</v>
      </c>
      <c r="C536" s="83" t="s">
        <v>7</v>
      </c>
      <c r="D536" s="69">
        <f>E536+F536+G536+H536+I536+J536+K536+L536+M536+N536+O536</f>
        <v>71929.2</v>
      </c>
      <c r="E536" s="69">
        <f t="shared" ref="E536:O536" si="235">E537+E538+E540+E542</f>
        <v>0</v>
      </c>
      <c r="F536" s="69">
        <f t="shared" si="235"/>
        <v>0</v>
      </c>
      <c r="G536" s="69">
        <f t="shared" si="235"/>
        <v>0</v>
      </c>
      <c r="H536" s="69">
        <f t="shared" si="235"/>
        <v>0</v>
      </c>
      <c r="I536" s="69">
        <f t="shared" si="235"/>
        <v>0</v>
      </c>
      <c r="J536" s="69">
        <f t="shared" si="235"/>
        <v>0</v>
      </c>
      <c r="K536" s="69">
        <f t="shared" si="235"/>
        <v>25529.200000000001</v>
      </c>
      <c r="L536" s="69">
        <f t="shared" si="235"/>
        <v>23200</v>
      </c>
      <c r="M536" s="69">
        <f t="shared" si="235"/>
        <v>23200</v>
      </c>
      <c r="N536" s="69">
        <f t="shared" si="235"/>
        <v>0</v>
      </c>
      <c r="O536" s="69">
        <f t="shared" si="235"/>
        <v>0</v>
      </c>
      <c r="W536" s="84"/>
    </row>
    <row r="537" spans="1:23" ht="17.25" customHeight="1" x14ac:dyDescent="0.2">
      <c r="A537" s="144"/>
      <c r="B537" s="144"/>
      <c r="C537" s="96" t="s">
        <v>10</v>
      </c>
      <c r="D537" s="69">
        <f t="shared" ref="D537:D542" si="236">E537+F537+G537+H537+I537+J537+K537+L537+M537+N537+O537</f>
        <v>0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v>0</v>
      </c>
      <c r="L537" s="69">
        <v>0</v>
      </c>
      <c r="M537" s="69">
        <v>0</v>
      </c>
      <c r="N537" s="69">
        <v>0</v>
      </c>
      <c r="O537" s="69">
        <v>0</v>
      </c>
      <c r="W537" s="84"/>
    </row>
    <row r="538" spans="1:23" ht="33.75" customHeight="1" x14ac:dyDescent="0.2">
      <c r="A538" s="144"/>
      <c r="B538" s="144"/>
      <c r="C538" s="96" t="s">
        <v>69</v>
      </c>
      <c r="D538" s="69">
        <f t="shared" si="236"/>
        <v>67613.399999999994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23997.4</v>
      </c>
      <c r="L538" s="69">
        <v>21808</v>
      </c>
      <c r="M538" s="69">
        <v>21808</v>
      </c>
      <c r="N538" s="69">
        <v>0</v>
      </c>
      <c r="O538" s="69">
        <v>0</v>
      </c>
      <c r="W538" s="84"/>
    </row>
    <row r="539" spans="1:23" ht="33.75" customHeight="1" x14ac:dyDescent="0.2">
      <c r="A539" s="144"/>
      <c r="B539" s="144"/>
      <c r="C539" s="72" t="s">
        <v>81</v>
      </c>
      <c r="D539" s="71">
        <f t="shared" si="236"/>
        <v>43616</v>
      </c>
      <c r="E539" s="71">
        <v>0</v>
      </c>
      <c r="F539" s="71">
        <v>0</v>
      </c>
      <c r="G539" s="71">
        <v>0</v>
      </c>
      <c r="H539" s="71">
        <v>0</v>
      </c>
      <c r="I539" s="71">
        <v>0</v>
      </c>
      <c r="J539" s="71">
        <v>0</v>
      </c>
      <c r="K539" s="71">
        <v>0</v>
      </c>
      <c r="L539" s="71">
        <v>21808</v>
      </c>
      <c r="M539" s="71">
        <v>21808</v>
      </c>
      <c r="N539" s="71">
        <v>0</v>
      </c>
      <c r="O539" s="71">
        <v>0</v>
      </c>
      <c r="W539" s="84"/>
    </row>
    <row r="540" spans="1:23" ht="30.75" customHeight="1" x14ac:dyDescent="0.2">
      <c r="A540" s="144"/>
      <c r="B540" s="144"/>
      <c r="C540" s="96" t="s">
        <v>65</v>
      </c>
      <c r="D540" s="69">
        <f t="shared" si="236"/>
        <v>4315.8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f>1531.8</f>
        <v>1531.8</v>
      </c>
      <c r="L540" s="69">
        <v>1392</v>
      </c>
      <c r="M540" s="69">
        <v>1392</v>
      </c>
      <c r="N540" s="69">
        <v>0</v>
      </c>
      <c r="O540" s="69">
        <v>0</v>
      </c>
      <c r="W540" s="84"/>
    </row>
    <row r="541" spans="1:23" s="84" customFormat="1" ht="36" customHeight="1" x14ac:dyDescent="0.2">
      <c r="A541" s="144"/>
      <c r="B541" s="144"/>
      <c r="C541" s="72" t="s">
        <v>448</v>
      </c>
      <c r="D541" s="71">
        <f t="shared" si="236"/>
        <v>2784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71">
        <v>0</v>
      </c>
      <c r="L541" s="71">
        <v>1392</v>
      </c>
      <c r="M541" s="71">
        <v>1392</v>
      </c>
      <c r="N541" s="71">
        <v>0</v>
      </c>
      <c r="O541" s="71">
        <v>0</v>
      </c>
    </row>
    <row r="542" spans="1:23" ht="30" customHeight="1" x14ac:dyDescent="0.2">
      <c r="A542" s="145"/>
      <c r="B542" s="145"/>
      <c r="C542" s="96" t="s">
        <v>13</v>
      </c>
      <c r="D542" s="69">
        <f t="shared" si="236"/>
        <v>0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v>0</v>
      </c>
      <c r="L542" s="69">
        <v>0</v>
      </c>
      <c r="M542" s="69">
        <v>0</v>
      </c>
      <c r="N542" s="69">
        <v>0</v>
      </c>
      <c r="O542" s="69">
        <v>0</v>
      </c>
      <c r="W542" s="84"/>
    </row>
    <row r="543" spans="1:23" ht="15.75" customHeight="1" x14ac:dyDescent="0.2">
      <c r="A543" s="149" t="s">
        <v>33</v>
      </c>
      <c r="B543" s="159" t="s">
        <v>46</v>
      </c>
      <c r="C543" s="101" t="s">
        <v>7</v>
      </c>
      <c r="D543" s="66">
        <f t="shared" si="234"/>
        <v>33480.5</v>
      </c>
      <c r="E543" s="66">
        <f>E544+E545+E546+E547</f>
        <v>20400</v>
      </c>
      <c r="F543" s="66">
        <f t="shared" ref="F543:O543" si="237">F544+F545+F546+F547</f>
        <v>3430</v>
      </c>
      <c r="G543" s="66">
        <f t="shared" si="237"/>
        <v>2049.1999999999998</v>
      </c>
      <c r="H543" s="66">
        <f t="shared" si="237"/>
        <v>3688.6</v>
      </c>
      <c r="I543" s="66">
        <f t="shared" si="237"/>
        <v>2475</v>
      </c>
      <c r="J543" s="66">
        <f>J544+J545+J546+J547</f>
        <v>227.4</v>
      </c>
      <c r="K543" s="66">
        <f t="shared" si="237"/>
        <v>251</v>
      </c>
      <c r="L543" s="66">
        <f t="shared" si="237"/>
        <v>278.5</v>
      </c>
      <c r="M543" s="66">
        <f>M544+M545+M546+M547</f>
        <v>312</v>
      </c>
      <c r="N543" s="66">
        <f t="shared" si="237"/>
        <v>185.8</v>
      </c>
      <c r="O543" s="66">
        <f t="shared" si="237"/>
        <v>183</v>
      </c>
      <c r="P543" s="60"/>
      <c r="Q543" s="60"/>
      <c r="W543" s="84"/>
    </row>
    <row r="544" spans="1:23" ht="15.75" customHeight="1" x14ac:dyDescent="0.2">
      <c r="A544" s="149"/>
      <c r="B544" s="147"/>
      <c r="C544" s="101" t="s">
        <v>10</v>
      </c>
      <c r="D544" s="69">
        <f t="shared" si="234"/>
        <v>0</v>
      </c>
      <c r="E544" s="69">
        <f>E549</f>
        <v>0</v>
      </c>
      <c r="F544" s="69">
        <f t="shared" ref="F544:O544" si="238">F549</f>
        <v>0</v>
      </c>
      <c r="G544" s="69">
        <f t="shared" si="238"/>
        <v>0</v>
      </c>
      <c r="H544" s="69">
        <f t="shared" si="238"/>
        <v>0</v>
      </c>
      <c r="I544" s="69">
        <f t="shared" si="238"/>
        <v>0</v>
      </c>
      <c r="J544" s="69">
        <f t="shared" si="238"/>
        <v>0</v>
      </c>
      <c r="K544" s="69">
        <f t="shared" si="238"/>
        <v>0</v>
      </c>
      <c r="L544" s="69">
        <f t="shared" si="238"/>
        <v>0</v>
      </c>
      <c r="M544" s="69">
        <f t="shared" si="238"/>
        <v>0</v>
      </c>
      <c r="N544" s="69">
        <f t="shared" si="238"/>
        <v>0</v>
      </c>
      <c r="O544" s="69">
        <f t="shared" si="238"/>
        <v>0</v>
      </c>
      <c r="W544" s="84"/>
    </row>
    <row r="545" spans="1:15" ht="15.75" customHeight="1" x14ac:dyDescent="0.2">
      <c r="A545" s="149"/>
      <c r="B545" s="147"/>
      <c r="C545" s="101" t="s">
        <v>11</v>
      </c>
      <c r="D545" s="69">
        <f t="shared" si="234"/>
        <v>0</v>
      </c>
      <c r="E545" s="69">
        <f>E550</f>
        <v>0</v>
      </c>
      <c r="F545" s="69">
        <f t="shared" ref="F545:O545" si="239">F559</f>
        <v>0</v>
      </c>
      <c r="G545" s="69">
        <f t="shared" si="239"/>
        <v>0</v>
      </c>
      <c r="H545" s="69">
        <f t="shared" si="239"/>
        <v>0</v>
      </c>
      <c r="I545" s="69">
        <f t="shared" si="239"/>
        <v>0</v>
      </c>
      <c r="J545" s="69">
        <f t="shared" si="239"/>
        <v>0</v>
      </c>
      <c r="K545" s="69">
        <f t="shared" si="239"/>
        <v>0</v>
      </c>
      <c r="L545" s="69">
        <f t="shared" si="239"/>
        <v>0</v>
      </c>
      <c r="M545" s="69">
        <f t="shared" si="239"/>
        <v>0</v>
      </c>
      <c r="N545" s="69">
        <f t="shared" si="239"/>
        <v>0</v>
      </c>
      <c r="O545" s="69">
        <f t="shared" si="239"/>
        <v>0</v>
      </c>
    </row>
    <row r="546" spans="1:15" ht="15.75" customHeight="1" x14ac:dyDescent="0.2">
      <c r="A546" s="149"/>
      <c r="B546" s="147"/>
      <c r="C546" s="101" t="s">
        <v>12</v>
      </c>
      <c r="D546" s="69">
        <f t="shared" si="234"/>
        <v>3215.5000000000005</v>
      </c>
      <c r="E546" s="69">
        <f>E551</f>
        <v>400</v>
      </c>
      <c r="F546" s="69">
        <f>F551</f>
        <v>430</v>
      </c>
      <c r="G546" s="69">
        <f t="shared" ref="G546:O546" si="240">G551</f>
        <v>449.2</v>
      </c>
      <c r="H546" s="69">
        <f t="shared" si="240"/>
        <v>235</v>
      </c>
      <c r="I546" s="69">
        <f t="shared" si="240"/>
        <v>263.60000000000002</v>
      </c>
      <c r="J546" s="69">
        <f t="shared" si="240"/>
        <v>227.4</v>
      </c>
      <c r="K546" s="69">
        <f t="shared" si="240"/>
        <v>251</v>
      </c>
      <c r="L546" s="69">
        <f t="shared" si="240"/>
        <v>278.5</v>
      </c>
      <c r="M546" s="69">
        <f t="shared" si="240"/>
        <v>312</v>
      </c>
      <c r="N546" s="69">
        <f t="shared" si="240"/>
        <v>185.8</v>
      </c>
      <c r="O546" s="69">
        <f t="shared" si="240"/>
        <v>183</v>
      </c>
    </row>
    <row r="547" spans="1:15" ht="15.75" x14ac:dyDescent="0.2">
      <c r="A547" s="149"/>
      <c r="B547" s="147"/>
      <c r="C547" s="101" t="s">
        <v>13</v>
      </c>
      <c r="D547" s="69">
        <f t="shared" si="234"/>
        <v>30265</v>
      </c>
      <c r="E547" s="69">
        <f>E552</f>
        <v>20000</v>
      </c>
      <c r="F547" s="69">
        <f t="shared" ref="F547:O547" si="241">F552</f>
        <v>3000</v>
      </c>
      <c r="G547" s="69">
        <f t="shared" si="241"/>
        <v>1600</v>
      </c>
      <c r="H547" s="69">
        <f t="shared" si="241"/>
        <v>3453.6</v>
      </c>
      <c r="I547" s="69">
        <f t="shared" si="241"/>
        <v>2211.4</v>
      </c>
      <c r="J547" s="69">
        <f t="shared" si="241"/>
        <v>0</v>
      </c>
      <c r="K547" s="69">
        <f t="shared" si="241"/>
        <v>0</v>
      </c>
      <c r="L547" s="69">
        <f t="shared" si="241"/>
        <v>0</v>
      </c>
      <c r="M547" s="69">
        <f t="shared" si="241"/>
        <v>0</v>
      </c>
      <c r="N547" s="69">
        <f t="shared" si="241"/>
        <v>0</v>
      </c>
      <c r="O547" s="69">
        <f t="shared" si="241"/>
        <v>0</v>
      </c>
    </row>
    <row r="548" spans="1:15" ht="19.5" customHeight="1" x14ac:dyDescent="0.2">
      <c r="A548" s="138" t="s">
        <v>132</v>
      </c>
      <c r="B548" s="147" t="s">
        <v>119</v>
      </c>
      <c r="C548" s="101" t="s">
        <v>7</v>
      </c>
      <c r="D548" s="69">
        <f t="shared" si="234"/>
        <v>33480.5</v>
      </c>
      <c r="E548" s="69">
        <f t="shared" ref="E548:O548" si="242">E549+E550+E551+E552</f>
        <v>20400</v>
      </c>
      <c r="F548" s="69">
        <f t="shared" si="242"/>
        <v>3430</v>
      </c>
      <c r="G548" s="69">
        <f t="shared" si="242"/>
        <v>2049.1999999999998</v>
      </c>
      <c r="H548" s="69">
        <f t="shared" si="242"/>
        <v>3688.6</v>
      </c>
      <c r="I548" s="69">
        <f t="shared" si="242"/>
        <v>2475</v>
      </c>
      <c r="J548" s="69">
        <f t="shared" si="242"/>
        <v>227.4</v>
      </c>
      <c r="K548" s="69">
        <f t="shared" si="242"/>
        <v>251</v>
      </c>
      <c r="L548" s="69">
        <f t="shared" si="242"/>
        <v>278.5</v>
      </c>
      <c r="M548" s="69">
        <f t="shared" si="242"/>
        <v>312</v>
      </c>
      <c r="N548" s="69">
        <f t="shared" si="242"/>
        <v>185.8</v>
      </c>
      <c r="O548" s="69">
        <f t="shared" si="242"/>
        <v>183</v>
      </c>
    </row>
    <row r="549" spans="1:15" ht="23.25" customHeight="1" x14ac:dyDescent="0.2">
      <c r="A549" s="138"/>
      <c r="B549" s="147"/>
      <c r="C549" s="101" t="s">
        <v>10</v>
      </c>
      <c r="D549" s="69">
        <f t="shared" si="234"/>
        <v>0</v>
      </c>
      <c r="E549" s="69">
        <f t="shared" ref="E549:O549" si="243">E554+E559+E564</f>
        <v>0</v>
      </c>
      <c r="F549" s="69">
        <f t="shared" si="243"/>
        <v>0</v>
      </c>
      <c r="G549" s="69">
        <f t="shared" si="243"/>
        <v>0</v>
      </c>
      <c r="H549" s="69">
        <f t="shared" si="243"/>
        <v>0</v>
      </c>
      <c r="I549" s="69">
        <f t="shared" si="243"/>
        <v>0</v>
      </c>
      <c r="J549" s="69">
        <f t="shared" si="243"/>
        <v>0</v>
      </c>
      <c r="K549" s="69">
        <f t="shared" si="243"/>
        <v>0</v>
      </c>
      <c r="L549" s="69">
        <f t="shared" si="243"/>
        <v>0</v>
      </c>
      <c r="M549" s="69">
        <f t="shared" si="243"/>
        <v>0</v>
      </c>
      <c r="N549" s="69">
        <f t="shared" si="243"/>
        <v>0</v>
      </c>
      <c r="O549" s="69">
        <f t="shared" si="243"/>
        <v>0</v>
      </c>
    </row>
    <row r="550" spans="1:15" ht="23.25" customHeight="1" x14ac:dyDescent="0.2">
      <c r="A550" s="138"/>
      <c r="B550" s="147"/>
      <c r="C550" s="101" t="s">
        <v>11</v>
      </c>
      <c r="D550" s="69">
        <f t="shared" si="234"/>
        <v>0</v>
      </c>
      <c r="E550" s="69">
        <f t="shared" ref="E550:O550" si="244">E555+E560+E565</f>
        <v>0</v>
      </c>
      <c r="F550" s="69">
        <f t="shared" si="244"/>
        <v>0</v>
      </c>
      <c r="G550" s="69">
        <f t="shared" si="244"/>
        <v>0</v>
      </c>
      <c r="H550" s="69">
        <f t="shared" si="244"/>
        <v>0</v>
      </c>
      <c r="I550" s="69">
        <f t="shared" si="244"/>
        <v>0</v>
      </c>
      <c r="J550" s="69">
        <f t="shared" si="244"/>
        <v>0</v>
      </c>
      <c r="K550" s="69">
        <f t="shared" si="244"/>
        <v>0</v>
      </c>
      <c r="L550" s="69">
        <f t="shared" si="244"/>
        <v>0</v>
      </c>
      <c r="M550" s="69">
        <f t="shared" si="244"/>
        <v>0</v>
      </c>
      <c r="N550" s="69">
        <f t="shared" si="244"/>
        <v>0</v>
      </c>
      <c r="O550" s="69">
        <f t="shared" si="244"/>
        <v>0</v>
      </c>
    </row>
    <row r="551" spans="1:15" ht="23.25" customHeight="1" x14ac:dyDescent="0.2">
      <c r="A551" s="138"/>
      <c r="B551" s="147"/>
      <c r="C551" s="101" t="s">
        <v>12</v>
      </c>
      <c r="D551" s="69">
        <f t="shared" si="234"/>
        <v>3215.5000000000005</v>
      </c>
      <c r="E551" s="69">
        <f t="shared" ref="E551:O551" si="245">E556+E561+E566</f>
        <v>400</v>
      </c>
      <c r="F551" s="69">
        <f t="shared" si="245"/>
        <v>430</v>
      </c>
      <c r="G551" s="69">
        <f t="shared" si="245"/>
        <v>449.2</v>
      </c>
      <c r="H551" s="69">
        <f t="shared" si="245"/>
        <v>235</v>
      </c>
      <c r="I551" s="69">
        <f>I556+I561+I566</f>
        <v>263.60000000000002</v>
      </c>
      <c r="J551" s="69">
        <f t="shared" si="245"/>
        <v>227.4</v>
      </c>
      <c r="K551" s="69">
        <f t="shared" si="245"/>
        <v>251</v>
      </c>
      <c r="L551" s="69">
        <f t="shared" si="245"/>
        <v>278.5</v>
      </c>
      <c r="M551" s="69">
        <f t="shared" si="245"/>
        <v>312</v>
      </c>
      <c r="N551" s="69">
        <f t="shared" si="245"/>
        <v>185.8</v>
      </c>
      <c r="O551" s="69">
        <f t="shared" si="245"/>
        <v>183</v>
      </c>
    </row>
    <row r="552" spans="1:15" ht="23.25" customHeight="1" x14ac:dyDescent="0.2">
      <c r="A552" s="138"/>
      <c r="B552" s="147"/>
      <c r="C552" s="101" t="s">
        <v>13</v>
      </c>
      <c r="D552" s="69">
        <f t="shared" si="234"/>
        <v>30265</v>
      </c>
      <c r="E552" s="69">
        <f t="shared" ref="E552:O552" si="246">E557+E562+E567</f>
        <v>20000</v>
      </c>
      <c r="F552" s="69">
        <f t="shared" si="246"/>
        <v>3000</v>
      </c>
      <c r="G552" s="69">
        <f t="shared" si="246"/>
        <v>1600</v>
      </c>
      <c r="H552" s="69">
        <f t="shared" si="246"/>
        <v>3453.6</v>
      </c>
      <c r="I552" s="69">
        <f t="shared" si="246"/>
        <v>2211.4</v>
      </c>
      <c r="J552" s="69">
        <f t="shared" si="246"/>
        <v>0</v>
      </c>
      <c r="K552" s="69">
        <f t="shared" si="246"/>
        <v>0</v>
      </c>
      <c r="L552" s="69">
        <f t="shared" si="246"/>
        <v>0</v>
      </c>
      <c r="M552" s="69">
        <f t="shared" si="246"/>
        <v>0</v>
      </c>
      <c r="N552" s="69">
        <f t="shared" si="246"/>
        <v>0</v>
      </c>
      <c r="O552" s="69">
        <f t="shared" si="246"/>
        <v>0</v>
      </c>
    </row>
    <row r="553" spans="1:15" ht="15.75" x14ac:dyDescent="0.2">
      <c r="A553" s="138" t="s">
        <v>120</v>
      </c>
      <c r="B553" s="147" t="s">
        <v>85</v>
      </c>
      <c r="C553" s="96" t="s">
        <v>7</v>
      </c>
      <c r="D553" s="69">
        <f t="shared" si="234"/>
        <v>3933.4</v>
      </c>
      <c r="E553" s="69">
        <f t="shared" ref="E553:J553" si="247">E554+E555+E556+E557</f>
        <v>0</v>
      </c>
      <c r="F553" s="69">
        <f t="shared" si="247"/>
        <v>0</v>
      </c>
      <c r="G553" s="69">
        <f t="shared" si="247"/>
        <v>0</v>
      </c>
      <c r="H553" s="69">
        <f t="shared" si="247"/>
        <v>2662</v>
      </c>
      <c r="I553" s="69">
        <f t="shared" si="247"/>
        <v>1271.4000000000001</v>
      </c>
      <c r="J553" s="69">
        <f t="shared" si="247"/>
        <v>0</v>
      </c>
      <c r="K553" s="69">
        <f>K554+K555+K556+K557</f>
        <v>0</v>
      </c>
      <c r="L553" s="69">
        <f>L554+L555+L556+L557</f>
        <v>0</v>
      </c>
      <c r="M553" s="69">
        <f>M554+M555+M556+M557</f>
        <v>0</v>
      </c>
      <c r="N553" s="69">
        <f>N554+N555+N556+N557</f>
        <v>0</v>
      </c>
      <c r="O553" s="69">
        <f>O554+O555+O556+O557</f>
        <v>0</v>
      </c>
    </row>
    <row r="554" spans="1:15" ht="15.75" customHeight="1" x14ac:dyDescent="0.2">
      <c r="A554" s="138"/>
      <c r="B554" s="147"/>
      <c r="C554" s="96" t="s">
        <v>10</v>
      </c>
      <c r="D554" s="69">
        <f t="shared" si="234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</row>
    <row r="555" spans="1:15" ht="15.75" customHeight="1" x14ac:dyDescent="0.2">
      <c r="A555" s="138"/>
      <c r="B555" s="147"/>
      <c r="C555" s="96" t="s">
        <v>11</v>
      </c>
      <c r="D555" s="69">
        <f t="shared" si="234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</row>
    <row r="556" spans="1:15" ht="15.75" customHeight="1" x14ac:dyDescent="0.2">
      <c r="A556" s="138"/>
      <c r="B556" s="147"/>
      <c r="C556" s="96" t="s">
        <v>12</v>
      </c>
      <c r="D556" s="69">
        <f t="shared" si="234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</row>
    <row r="557" spans="1:15" ht="15.75" x14ac:dyDescent="0.2">
      <c r="A557" s="138"/>
      <c r="B557" s="147"/>
      <c r="C557" s="96" t="s">
        <v>13</v>
      </c>
      <c r="D557" s="69">
        <f t="shared" si="234"/>
        <v>3933.4</v>
      </c>
      <c r="E557" s="69">
        <v>0</v>
      </c>
      <c r="F557" s="69">
        <v>0</v>
      </c>
      <c r="G557" s="69">
        <v>0</v>
      </c>
      <c r="H557" s="69">
        <v>2662</v>
      </c>
      <c r="I557" s="69">
        <f>837+48.7+385.7</f>
        <v>1271.4000000000001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</row>
    <row r="558" spans="1:15" ht="15.75" x14ac:dyDescent="0.2">
      <c r="A558" s="138" t="s">
        <v>121</v>
      </c>
      <c r="B558" s="147" t="s">
        <v>32</v>
      </c>
      <c r="C558" s="96" t="s">
        <v>7</v>
      </c>
      <c r="D558" s="69">
        <f t="shared" si="234"/>
        <v>3215.5000000000005</v>
      </c>
      <c r="E558" s="69">
        <f t="shared" ref="E558:J558" si="248">E559+E560+E561+E562</f>
        <v>400</v>
      </c>
      <c r="F558" s="69">
        <f t="shared" si="248"/>
        <v>430</v>
      </c>
      <c r="G558" s="69">
        <f t="shared" si="248"/>
        <v>449.2</v>
      </c>
      <c r="H558" s="69">
        <f t="shared" si="248"/>
        <v>235</v>
      </c>
      <c r="I558" s="69">
        <f t="shared" si="248"/>
        <v>263.60000000000002</v>
      </c>
      <c r="J558" s="69">
        <f t="shared" si="248"/>
        <v>227.4</v>
      </c>
      <c r="K558" s="69">
        <f>K559+K560+K561+K562</f>
        <v>251</v>
      </c>
      <c r="L558" s="69">
        <f>L559+L560+L561+L562</f>
        <v>278.5</v>
      </c>
      <c r="M558" s="69">
        <f>M559+M560+M561+M562</f>
        <v>312</v>
      </c>
      <c r="N558" s="69">
        <f>N559+N560+N561+N562</f>
        <v>185.8</v>
      </c>
      <c r="O558" s="69">
        <f>O559+O560+O561+O562</f>
        <v>183</v>
      </c>
    </row>
    <row r="559" spans="1:15" ht="15.75" x14ac:dyDescent="0.2">
      <c r="A559" s="138"/>
      <c r="B559" s="147"/>
      <c r="C559" s="101" t="s">
        <v>10</v>
      </c>
      <c r="D559" s="69">
        <f t="shared" si="234"/>
        <v>0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0</v>
      </c>
      <c r="M559" s="69">
        <v>0</v>
      </c>
      <c r="N559" s="69">
        <v>0</v>
      </c>
      <c r="O559" s="69">
        <v>0</v>
      </c>
    </row>
    <row r="560" spans="1:15" ht="15.75" x14ac:dyDescent="0.2">
      <c r="A560" s="138"/>
      <c r="B560" s="147"/>
      <c r="C560" s="101" t="s">
        <v>11</v>
      </c>
      <c r="D560" s="69">
        <f t="shared" si="234"/>
        <v>0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</v>
      </c>
      <c r="N560" s="69">
        <v>0</v>
      </c>
      <c r="O560" s="69">
        <v>0</v>
      </c>
    </row>
    <row r="561" spans="1:17" ht="15.75" x14ac:dyDescent="0.2">
      <c r="A561" s="138"/>
      <c r="B561" s="147"/>
      <c r="C561" s="101" t="s">
        <v>12</v>
      </c>
      <c r="D561" s="69">
        <f t="shared" si="234"/>
        <v>3215.5000000000005</v>
      </c>
      <c r="E561" s="69">
        <v>400</v>
      </c>
      <c r="F561" s="69">
        <v>430</v>
      </c>
      <c r="G561" s="69">
        <v>449.2</v>
      </c>
      <c r="H561" s="69">
        <v>235</v>
      </c>
      <c r="I561" s="69">
        <f>251.9+11.7</f>
        <v>263.60000000000002</v>
      </c>
      <c r="J561" s="82">
        <f>278.5-51.1</f>
        <v>227.4</v>
      </c>
      <c r="K561" s="82">
        <f>278.5-27.5</f>
        <v>251</v>
      </c>
      <c r="L561" s="82">
        <f>157.5+121</f>
        <v>278.5</v>
      </c>
      <c r="M561" s="82">
        <f>167-9.4+154.4</f>
        <v>312</v>
      </c>
      <c r="N561" s="69">
        <f>167.8+18</f>
        <v>185.8</v>
      </c>
      <c r="O561" s="69">
        <f>170.3+12.7</f>
        <v>183</v>
      </c>
    </row>
    <row r="562" spans="1:17" ht="15.75" x14ac:dyDescent="0.2">
      <c r="A562" s="138"/>
      <c r="B562" s="147"/>
      <c r="C562" s="101" t="s">
        <v>13</v>
      </c>
      <c r="D562" s="69">
        <f t="shared" si="234"/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</row>
    <row r="563" spans="1:17" ht="15.75" x14ac:dyDescent="0.25">
      <c r="A563" s="138" t="s">
        <v>246</v>
      </c>
      <c r="B563" s="147" t="s">
        <v>57</v>
      </c>
      <c r="C563" s="85" t="s">
        <v>7</v>
      </c>
      <c r="D563" s="69">
        <f t="shared" si="234"/>
        <v>26331.599999999999</v>
      </c>
      <c r="E563" s="69">
        <f>E567+E566+E565</f>
        <v>20000</v>
      </c>
      <c r="F563" s="69">
        <f t="shared" ref="F563:O563" si="249">F564+F565+F566+F567</f>
        <v>3000</v>
      </c>
      <c r="G563" s="69">
        <f t="shared" si="249"/>
        <v>1600</v>
      </c>
      <c r="H563" s="69">
        <f t="shared" si="249"/>
        <v>791.6</v>
      </c>
      <c r="I563" s="69">
        <f t="shared" si="249"/>
        <v>940</v>
      </c>
      <c r="J563" s="69">
        <f t="shared" si="249"/>
        <v>0</v>
      </c>
      <c r="K563" s="69">
        <f t="shared" si="249"/>
        <v>0</v>
      </c>
      <c r="L563" s="69">
        <f t="shared" si="249"/>
        <v>0</v>
      </c>
      <c r="M563" s="69">
        <f t="shared" si="249"/>
        <v>0</v>
      </c>
      <c r="N563" s="69">
        <f t="shared" si="249"/>
        <v>0</v>
      </c>
      <c r="O563" s="69">
        <f t="shared" si="249"/>
        <v>0</v>
      </c>
    </row>
    <row r="564" spans="1:17" ht="15.75" x14ac:dyDescent="0.2">
      <c r="A564" s="138"/>
      <c r="B564" s="147"/>
      <c r="C564" s="101" t="s">
        <v>10</v>
      </c>
      <c r="D564" s="69">
        <f t="shared" si="234"/>
        <v>0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v>0</v>
      </c>
      <c r="M564" s="69">
        <v>0</v>
      </c>
      <c r="N564" s="69">
        <v>0</v>
      </c>
      <c r="O564" s="69">
        <v>0</v>
      </c>
    </row>
    <row r="565" spans="1:17" ht="15.75" x14ac:dyDescent="0.2">
      <c r="A565" s="138"/>
      <c r="B565" s="147"/>
      <c r="C565" s="101" t="s">
        <v>11</v>
      </c>
      <c r="D565" s="69">
        <f t="shared" si="234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</row>
    <row r="566" spans="1:17" ht="15.75" x14ac:dyDescent="0.2">
      <c r="A566" s="138"/>
      <c r="B566" s="147"/>
      <c r="C566" s="101" t="s">
        <v>12</v>
      </c>
      <c r="D566" s="69">
        <f t="shared" si="234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82">
        <v>0</v>
      </c>
      <c r="K566" s="82">
        <v>0</v>
      </c>
      <c r="L566" s="82">
        <v>0</v>
      </c>
      <c r="M566" s="82">
        <v>0</v>
      </c>
      <c r="N566" s="82">
        <v>0</v>
      </c>
      <c r="O566" s="82">
        <v>0</v>
      </c>
    </row>
    <row r="567" spans="1:17" ht="15.75" x14ac:dyDescent="0.2">
      <c r="A567" s="138"/>
      <c r="B567" s="147"/>
      <c r="C567" s="101" t="s">
        <v>13</v>
      </c>
      <c r="D567" s="69">
        <f t="shared" si="234"/>
        <v>26331.599999999999</v>
      </c>
      <c r="E567" s="69">
        <v>20000</v>
      </c>
      <c r="F567" s="69">
        <v>3000</v>
      </c>
      <c r="G567" s="69">
        <v>1600</v>
      </c>
      <c r="H567" s="69">
        <v>791.6</v>
      </c>
      <c r="I567" s="69">
        <v>940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0</v>
      </c>
    </row>
    <row r="568" spans="1:17" ht="15.75" x14ac:dyDescent="0.2">
      <c r="A568" s="149" t="s">
        <v>39</v>
      </c>
      <c r="B568" s="154" t="s">
        <v>331</v>
      </c>
      <c r="C568" s="73" t="s">
        <v>7</v>
      </c>
      <c r="D568" s="66">
        <f t="shared" si="234"/>
        <v>162217.40000000002</v>
      </c>
      <c r="E568" s="66">
        <f t="shared" ref="E568:O568" si="250">E570+E571+E572+E574</f>
        <v>13860</v>
      </c>
      <c r="F568" s="66">
        <f t="shared" si="250"/>
        <v>15421.9</v>
      </c>
      <c r="G568" s="66">
        <f t="shared" si="250"/>
        <v>19594</v>
      </c>
      <c r="H568" s="66">
        <f t="shared" si="250"/>
        <v>13152.1</v>
      </c>
      <c r="I568" s="66">
        <f t="shared" si="250"/>
        <v>23011</v>
      </c>
      <c r="J568" s="66">
        <f t="shared" si="250"/>
        <v>14576.6</v>
      </c>
      <c r="K568" s="66">
        <f t="shared" si="250"/>
        <v>18850.3</v>
      </c>
      <c r="L568" s="66">
        <f t="shared" si="250"/>
        <v>16460</v>
      </c>
      <c r="M568" s="66">
        <f t="shared" si="250"/>
        <v>11135.4</v>
      </c>
      <c r="N568" s="66">
        <f>N570+N571+N572+N574</f>
        <v>8138.1</v>
      </c>
      <c r="O568" s="66">
        <f t="shared" si="250"/>
        <v>8018</v>
      </c>
      <c r="P568" s="60"/>
      <c r="Q568" s="60"/>
    </row>
    <row r="569" spans="1:17" ht="50.25" customHeight="1" x14ac:dyDescent="0.2">
      <c r="A569" s="149"/>
      <c r="B569" s="155"/>
      <c r="C569" s="74" t="s">
        <v>64</v>
      </c>
      <c r="D569" s="71">
        <f t="shared" ref="D569:D574" si="251">E569+F569+G569+H569+I569+J569+K569+L569+M569+N569+O569</f>
        <v>1971.3999999999999</v>
      </c>
      <c r="E569" s="71">
        <f>E579</f>
        <v>752.3</v>
      </c>
      <c r="F569" s="71">
        <f t="shared" ref="F569:O569" si="252">F579</f>
        <v>0</v>
      </c>
      <c r="G569" s="71">
        <f t="shared" si="252"/>
        <v>1219.0999999999999</v>
      </c>
      <c r="H569" s="71">
        <f t="shared" si="252"/>
        <v>0</v>
      </c>
      <c r="I569" s="71">
        <f t="shared" si="252"/>
        <v>0</v>
      </c>
      <c r="J569" s="71">
        <f t="shared" si="252"/>
        <v>0</v>
      </c>
      <c r="K569" s="71">
        <f t="shared" si="252"/>
        <v>0</v>
      </c>
      <c r="L569" s="71">
        <f t="shared" si="252"/>
        <v>0</v>
      </c>
      <c r="M569" s="71">
        <f t="shared" si="252"/>
        <v>0</v>
      </c>
      <c r="N569" s="71">
        <f t="shared" si="252"/>
        <v>0</v>
      </c>
      <c r="O569" s="71">
        <f t="shared" si="252"/>
        <v>0</v>
      </c>
    </row>
    <row r="570" spans="1:17" ht="18.75" customHeight="1" x14ac:dyDescent="0.2">
      <c r="A570" s="149"/>
      <c r="B570" s="155"/>
      <c r="C570" s="101" t="s">
        <v>10</v>
      </c>
      <c r="D570" s="69">
        <f t="shared" si="251"/>
        <v>0</v>
      </c>
      <c r="E570" s="69">
        <f>E576+E593</f>
        <v>0</v>
      </c>
      <c r="F570" s="69">
        <f t="shared" ref="F570:O570" si="253">F576+F593</f>
        <v>0</v>
      </c>
      <c r="G570" s="69">
        <f t="shared" si="253"/>
        <v>0</v>
      </c>
      <c r="H570" s="69">
        <f t="shared" si="253"/>
        <v>0</v>
      </c>
      <c r="I570" s="69">
        <f t="shared" si="253"/>
        <v>0</v>
      </c>
      <c r="J570" s="69">
        <v>0</v>
      </c>
      <c r="K570" s="69">
        <f t="shared" si="253"/>
        <v>0</v>
      </c>
      <c r="L570" s="69">
        <f t="shared" si="253"/>
        <v>0</v>
      </c>
      <c r="M570" s="69">
        <f t="shared" si="253"/>
        <v>0</v>
      </c>
      <c r="N570" s="69">
        <f t="shared" si="253"/>
        <v>0</v>
      </c>
      <c r="O570" s="69">
        <f t="shared" si="253"/>
        <v>0</v>
      </c>
    </row>
    <row r="571" spans="1:17" ht="16.5" customHeight="1" x14ac:dyDescent="0.2">
      <c r="A571" s="149"/>
      <c r="B571" s="155"/>
      <c r="C571" s="101" t="s">
        <v>11</v>
      </c>
      <c r="D571" s="69">
        <f t="shared" si="251"/>
        <v>708.6</v>
      </c>
      <c r="E571" s="69">
        <f t="shared" ref="E571:O571" si="254">E577+E594</f>
        <v>0</v>
      </c>
      <c r="F571" s="69">
        <f t="shared" si="254"/>
        <v>0</v>
      </c>
      <c r="G571" s="69">
        <f t="shared" si="254"/>
        <v>0</v>
      </c>
      <c r="H571" s="69">
        <f t="shared" si="254"/>
        <v>0</v>
      </c>
      <c r="I571" s="69">
        <f t="shared" si="254"/>
        <v>0</v>
      </c>
      <c r="J571" s="69">
        <v>708.6</v>
      </c>
      <c r="K571" s="69">
        <f t="shared" si="254"/>
        <v>0</v>
      </c>
      <c r="L571" s="69">
        <f t="shared" si="254"/>
        <v>0</v>
      </c>
      <c r="M571" s="69">
        <f t="shared" si="254"/>
        <v>0</v>
      </c>
      <c r="N571" s="69">
        <f t="shared" si="254"/>
        <v>0</v>
      </c>
      <c r="O571" s="69">
        <f t="shared" si="254"/>
        <v>0</v>
      </c>
    </row>
    <row r="572" spans="1:17" ht="32.25" customHeight="1" x14ac:dyDescent="0.2">
      <c r="A572" s="149"/>
      <c r="B572" s="155"/>
      <c r="C572" s="101" t="s">
        <v>65</v>
      </c>
      <c r="D572" s="69">
        <f t="shared" si="251"/>
        <v>161508.79999999999</v>
      </c>
      <c r="E572" s="69">
        <f t="shared" ref="E572:O572" si="255">E578+E595</f>
        <v>13860</v>
      </c>
      <c r="F572" s="69">
        <f t="shared" si="255"/>
        <v>15421.9</v>
      </c>
      <c r="G572" s="69">
        <f t="shared" si="255"/>
        <v>19594</v>
      </c>
      <c r="H572" s="69">
        <f t="shared" si="255"/>
        <v>13152.1</v>
      </c>
      <c r="I572" s="69">
        <f t="shared" si="255"/>
        <v>23011</v>
      </c>
      <c r="J572" s="69">
        <f t="shared" si="255"/>
        <v>13868</v>
      </c>
      <c r="K572" s="69">
        <f t="shared" si="255"/>
        <v>18850.3</v>
      </c>
      <c r="L572" s="69">
        <f t="shared" si="255"/>
        <v>16460</v>
      </c>
      <c r="M572" s="69">
        <f t="shared" si="255"/>
        <v>11135.4</v>
      </c>
      <c r="N572" s="69">
        <f t="shared" si="255"/>
        <v>8138.1</v>
      </c>
      <c r="O572" s="69">
        <f t="shared" si="255"/>
        <v>8018</v>
      </c>
    </row>
    <row r="573" spans="1:17" ht="32.25" customHeight="1" x14ac:dyDescent="0.2">
      <c r="A573" s="149"/>
      <c r="B573" s="155"/>
      <c r="C573" s="74" t="s">
        <v>79</v>
      </c>
      <c r="D573" s="71">
        <f t="shared" si="251"/>
        <v>1971.3999999999999</v>
      </c>
      <c r="E573" s="71">
        <f>E579</f>
        <v>752.3</v>
      </c>
      <c r="F573" s="71">
        <f t="shared" ref="F573:O573" si="256">F579</f>
        <v>0</v>
      </c>
      <c r="G573" s="71">
        <f t="shared" si="256"/>
        <v>1219.0999999999999</v>
      </c>
      <c r="H573" s="71">
        <f t="shared" si="256"/>
        <v>0</v>
      </c>
      <c r="I573" s="71">
        <f t="shared" si="256"/>
        <v>0</v>
      </c>
      <c r="J573" s="71">
        <f t="shared" si="256"/>
        <v>0</v>
      </c>
      <c r="K573" s="71">
        <f t="shared" si="256"/>
        <v>0</v>
      </c>
      <c r="L573" s="71">
        <f t="shared" si="256"/>
        <v>0</v>
      </c>
      <c r="M573" s="71">
        <f t="shared" si="256"/>
        <v>0</v>
      </c>
      <c r="N573" s="71">
        <f t="shared" si="256"/>
        <v>0</v>
      </c>
      <c r="O573" s="71">
        <f t="shared" si="256"/>
        <v>0</v>
      </c>
    </row>
    <row r="574" spans="1:17" ht="15.75" x14ac:dyDescent="0.2">
      <c r="A574" s="149"/>
      <c r="B574" s="156"/>
      <c r="C574" s="101" t="s">
        <v>13</v>
      </c>
      <c r="D574" s="69">
        <f t="shared" si="251"/>
        <v>0</v>
      </c>
      <c r="E574" s="69">
        <f>E580+E592</f>
        <v>0</v>
      </c>
      <c r="F574" s="69">
        <f t="shared" ref="F574:O574" si="257">F580</f>
        <v>0</v>
      </c>
      <c r="G574" s="69">
        <f t="shared" si="257"/>
        <v>0</v>
      </c>
      <c r="H574" s="69">
        <f t="shared" si="257"/>
        <v>0</v>
      </c>
      <c r="I574" s="69">
        <f t="shared" si="257"/>
        <v>0</v>
      </c>
      <c r="J574" s="69">
        <f t="shared" si="257"/>
        <v>0</v>
      </c>
      <c r="K574" s="69">
        <f t="shared" si="257"/>
        <v>0</v>
      </c>
      <c r="L574" s="69">
        <f t="shared" si="257"/>
        <v>0</v>
      </c>
      <c r="M574" s="69">
        <f t="shared" si="257"/>
        <v>0</v>
      </c>
      <c r="N574" s="69">
        <f t="shared" si="257"/>
        <v>0</v>
      </c>
      <c r="O574" s="69">
        <f t="shared" si="257"/>
        <v>0</v>
      </c>
    </row>
    <row r="575" spans="1:17" ht="15.75" x14ac:dyDescent="0.2">
      <c r="A575" s="143" t="s">
        <v>353</v>
      </c>
      <c r="B575" s="138" t="s">
        <v>91</v>
      </c>
      <c r="C575" s="101" t="s">
        <v>7</v>
      </c>
      <c r="D575" s="69">
        <f t="shared" ref="D575:D615" si="258">E575+F575+G575+H575+I575+J575+K575+L575+M575+N575+O575</f>
        <v>161508.79999999999</v>
      </c>
      <c r="E575" s="69">
        <f t="shared" ref="E575:O575" si="259">E578+E576+E577+E580</f>
        <v>13860</v>
      </c>
      <c r="F575" s="69">
        <f t="shared" si="259"/>
        <v>15421.9</v>
      </c>
      <c r="G575" s="69">
        <f t="shared" si="259"/>
        <v>19594</v>
      </c>
      <c r="H575" s="69">
        <f t="shared" si="259"/>
        <v>13152.1</v>
      </c>
      <c r="I575" s="69">
        <f t="shared" si="259"/>
        <v>23011</v>
      </c>
      <c r="J575" s="69">
        <f t="shared" si="259"/>
        <v>13868</v>
      </c>
      <c r="K575" s="69">
        <f t="shared" si="259"/>
        <v>18850.3</v>
      </c>
      <c r="L575" s="69">
        <f t="shared" si="259"/>
        <v>16460</v>
      </c>
      <c r="M575" s="69">
        <f t="shared" si="259"/>
        <v>11135.4</v>
      </c>
      <c r="N575" s="69">
        <f t="shared" si="259"/>
        <v>8138.1</v>
      </c>
      <c r="O575" s="69">
        <f t="shared" si="259"/>
        <v>8018</v>
      </c>
    </row>
    <row r="576" spans="1:17" ht="15.75" x14ac:dyDescent="0.2">
      <c r="A576" s="157"/>
      <c r="B576" s="138"/>
      <c r="C576" s="101" t="s">
        <v>10</v>
      </c>
      <c r="D576" s="69">
        <f t="shared" si="258"/>
        <v>0</v>
      </c>
      <c r="E576" s="69">
        <f>E582+E588</f>
        <v>0</v>
      </c>
      <c r="F576" s="69">
        <f t="shared" ref="F576:O576" si="260">F582+F588</f>
        <v>0</v>
      </c>
      <c r="G576" s="69">
        <f t="shared" si="260"/>
        <v>0</v>
      </c>
      <c r="H576" s="69">
        <f t="shared" si="260"/>
        <v>0</v>
      </c>
      <c r="I576" s="69">
        <f t="shared" si="260"/>
        <v>0</v>
      </c>
      <c r="J576" s="69">
        <f t="shared" si="260"/>
        <v>0</v>
      </c>
      <c r="K576" s="69">
        <f t="shared" si="260"/>
        <v>0</v>
      </c>
      <c r="L576" s="69">
        <f t="shared" si="260"/>
        <v>0</v>
      </c>
      <c r="M576" s="69">
        <f t="shared" si="260"/>
        <v>0</v>
      </c>
      <c r="N576" s="69">
        <f t="shared" si="260"/>
        <v>0</v>
      </c>
      <c r="O576" s="69">
        <f t="shared" si="260"/>
        <v>0</v>
      </c>
    </row>
    <row r="577" spans="1:24" ht="15.75" x14ac:dyDescent="0.2">
      <c r="A577" s="157"/>
      <c r="B577" s="138"/>
      <c r="C577" s="101" t="s">
        <v>11</v>
      </c>
      <c r="D577" s="69">
        <f t="shared" si="258"/>
        <v>0</v>
      </c>
      <c r="E577" s="69">
        <f t="shared" ref="E577:O577" si="261">E583+E589</f>
        <v>0</v>
      </c>
      <c r="F577" s="69">
        <f t="shared" si="261"/>
        <v>0</v>
      </c>
      <c r="G577" s="69">
        <f t="shared" si="261"/>
        <v>0</v>
      </c>
      <c r="H577" s="69">
        <f t="shared" si="261"/>
        <v>0</v>
      </c>
      <c r="I577" s="69">
        <f t="shared" si="261"/>
        <v>0</v>
      </c>
      <c r="J577" s="69">
        <f t="shared" si="261"/>
        <v>0</v>
      </c>
      <c r="K577" s="69">
        <f t="shared" si="261"/>
        <v>0</v>
      </c>
      <c r="L577" s="69">
        <f t="shared" si="261"/>
        <v>0</v>
      </c>
      <c r="M577" s="69">
        <f t="shared" si="261"/>
        <v>0</v>
      </c>
      <c r="N577" s="69">
        <f t="shared" si="261"/>
        <v>0</v>
      </c>
      <c r="O577" s="69">
        <f t="shared" si="261"/>
        <v>0</v>
      </c>
    </row>
    <row r="578" spans="1:24" ht="31.5" customHeight="1" x14ac:dyDescent="0.2">
      <c r="A578" s="157"/>
      <c r="B578" s="138"/>
      <c r="C578" s="101" t="s">
        <v>65</v>
      </c>
      <c r="D578" s="69">
        <f t="shared" si="258"/>
        <v>161508.79999999999</v>
      </c>
      <c r="E578" s="69">
        <f>E584+E590</f>
        <v>13860</v>
      </c>
      <c r="F578" s="69">
        <f t="shared" ref="F578:O578" si="262">F584+F590</f>
        <v>15421.9</v>
      </c>
      <c r="G578" s="69">
        <f t="shared" si="262"/>
        <v>19594</v>
      </c>
      <c r="H578" s="69">
        <f t="shared" si="262"/>
        <v>13152.1</v>
      </c>
      <c r="I578" s="69">
        <f t="shared" si="262"/>
        <v>23011</v>
      </c>
      <c r="J578" s="69">
        <f>J584+J590</f>
        <v>13868</v>
      </c>
      <c r="K578" s="69">
        <f t="shared" si="262"/>
        <v>18850.3</v>
      </c>
      <c r="L578" s="69">
        <f t="shared" si="262"/>
        <v>16460</v>
      </c>
      <c r="M578" s="69">
        <f t="shared" si="262"/>
        <v>11135.4</v>
      </c>
      <c r="N578" s="69">
        <f t="shared" si="262"/>
        <v>8138.1</v>
      </c>
      <c r="O578" s="69">
        <f t="shared" si="262"/>
        <v>8018</v>
      </c>
    </row>
    <row r="579" spans="1:24" ht="33" customHeight="1" x14ac:dyDescent="0.2">
      <c r="A579" s="157"/>
      <c r="B579" s="138"/>
      <c r="C579" s="74" t="s">
        <v>79</v>
      </c>
      <c r="D579" s="69">
        <f t="shared" si="258"/>
        <v>1971.3999999999999</v>
      </c>
      <c r="E579" s="71">
        <f>E585</f>
        <v>752.3</v>
      </c>
      <c r="F579" s="71">
        <f t="shared" ref="F579:O579" si="263">F585</f>
        <v>0</v>
      </c>
      <c r="G579" s="71">
        <f t="shared" si="263"/>
        <v>1219.0999999999999</v>
      </c>
      <c r="H579" s="71">
        <f t="shared" si="263"/>
        <v>0</v>
      </c>
      <c r="I579" s="71">
        <f t="shared" si="263"/>
        <v>0</v>
      </c>
      <c r="J579" s="71">
        <f t="shared" si="263"/>
        <v>0</v>
      </c>
      <c r="K579" s="71">
        <f t="shared" si="263"/>
        <v>0</v>
      </c>
      <c r="L579" s="71">
        <f t="shared" si="263"/>
        <v>0</v>
      </c>
      <c r="M579" s="71">
        <f t="shared" si="263"/>
        <v>0</v>
      </c>
      <c r="N579" s="71">
        <f t="shared" si="263"/>
        <v>0</v>
      </c>
      <c r="O579" s="71">
        <f t="shared" si="263"/>
        <v>0</v>
      </c>
    </row>
    <row r="580" spans="1:24" ht="17.25" customHeight="1" x14ac:dyDescent="0.2">
      <c r="A580" s="158"/>
      <c r="B580" s="138"/>
      <c r="C580" s="101" t="s">
        <v>13</v>
      </c>
      <c r="D580" s="69">
        <f t="shared" si="258"/>
        <v>0</v>
      </c>
      <c r="E580" s="69">
        <f t="shared" ref="E580:O580" si="264">E586+E591</f>
        <v>0</v>
      </c>
      <c r="F580" s="69">
        <f t="shared" si="264"/>
        <v>0</v>
      </c>
      <c r="G580" s="69">
        <f t="shared" si="264"/>
        <v>0</v>
      </c>
      <c r="H580" s="69">
        <f t="shared" si="264"/>
        <v>0</v>
      </c>
      <c r="I580" s="69">
        <f t="shared" si="264"/>
        <v>0</v>
      </c>
      <c r="J580" s="69">
        <f t="shared" si="264"/>
        <v>0</v>
      </c>
      <c r="K580" s="69">
        <f t="shared" si="264"/>
        <v>0</v>
      </c>
      <c r="L580" s="69">
        <f t="shared" si="264"/>
        <v>0</v>
      </c>
      <c r="M580" s="69">
        <f t="shared" si="264"/>
        <v>0</v>
      </c>
      <c r="N580" s="69">
        <f t="shared" si="264"/>
        <v>0</v>
      </c>
      <c r="O580" s="69">
        <f t="shared" si="264"/>
        <v>0</v>
      </c>
    </row>
    <row r="581" spans="1:24" ht="17.25" customHeight="1" x14ac:dyDescent="0.2">
      <c r="A581" s="146" t="s">
        <v>133</v>
      </c>
      <c r="B581" s="147" t="s">
        <v>137</v>
      </c>
      <c r="C581" s="101" t="s">
        <v>7</v>
      </c>
      <c r="D581" s="69">
        <f t="shared" si="258"/>
        <v>36232.199999999997</v>
      </c>
      <c r="E581" s="69">
        <f t="shared" ref="E581:O581" si="265">E582+E583+E584+E586</f>
        <v>6610.3</v>
      </c>
      <c r="F581" s="69">
        <f t="shared" si="265"/>
        <v>5421.9</v>
      </c>
      <c r="G581" s="69">
        <f t="shared" si="265"/>
        <v>1966.9</v>
      </c>
      <c r="H581" s="69">
        <f t="shared" si="265"/>
        <v>945.9</v>
      </c>
      <c r="I581" s="69">
        <f t="shared" si="265"/>
        <v>11181</v>
      </c>
      <c r="J581" s="69">
        <f t="shared" si="265"/>
        <v>2488.6000000000004</v>
      </c>
      <c r="K581" s="69">
        <f t="shared" si="265"/>
        <v>1158.3</v>
      </c>
      <c r="L581" s="69">
        <f t="shared" si="265"/>
        <v>3329.8</v>
      </c>
      <c r="M581" s="69">
        <f t="shared" si="265"/>
        <v>3129.5</v>
      </c>
      <c r="N581" s="69">
        <f t="shared" si="265"/>
        <v>0</v>
      </c>
      <c r="O581" s="69">
        <f t="shared" si="265"/>
        <v>0</v>
      </c>
    </row>
    <row r="582" spans="1:24" ht="15.75" x14ac:dyDescent="0.2">
      <c r="A582" s="146"/>
      <c r="B582" s="147"/>
      <c r="C582" s="101" t="s">
        <v>10</v>
      </c>
      <c r="D582" s="69">
        <f t="shared" si="258"/>
        <v>0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</row>
    <row r="583" spans="1:24" ht="15.75" x14ac:dyDescent="0.2">
      <c r="A583" s="146"/>
      <c r="B583" s="147"/>
      <c r="C583" s="101" t="s">
        <v>11</v>
      </c>
      <c r="D583" s="69">
        <f t="shared" si="258"/>
        <v>0</v>
      </c>
      <c r="E583" s="69">
        <v>0</v>
      </c>
      <c r="F583" s="69">
        <v>0</v>
      </c>
      <c r="G583" s="69">
        <v>0</v>
      </c>
      <c r="H583" s="69">
        <v>0</v>
      </c>
      <c r="I583" s="69">
        <v>0</v>
      </c>
      <c r="J583" s="69">
        <v>0</v>
      </c>
      <c r="K583" s="69">
        <v>0</v>
      </c>
      <c r="L583" s="69">
        <v>0</v>
      </c>
      <c r="M583" s="69">
        <v>0</v>
      </c>
      <c r="N583" s="69">
        <v>0</v>
      </c>
      <c r="O583" s="69">
        <v>0</v>
      </c>
    </row>
    <row r="584" spans="1:24" ht="31.5" x14ac:dyDescent="0.2">
      <c r="A584" s="146"/>
      <c r="B584" s="147"/>
      <c r="C584" s="101" t="s">
        <v>65</v>
      </c>
      <c r="D584" s="69">
        <f t="shared" si="258"/>
        <v>36232.199999999997</v>
      </c>
      <c r="E584" s="69">
        <v>6610.3</v>
      </c>
      <c r="F584" s="69">
        <v>5421.9</v>
      </c>
      <c r="G584" s="69">
        <v>1966.9</v>
      </c>
      <c r="H584" s="69">
        <v>945.9</v>
      </c>
      <c r="I584" s="69">
        <v>11181</v>
      </c>
      <c r="J584" s="69">
        <f>1513.4+227.7+600+147.5</f>
        <v>2488.6000000000004</v>
      </c>
      <c r="K584" s="69">
        <f>1059.4+633.1+454-1078.2+90</f>
        <v>1158.3</v>
      </c>
      <c r="L584" s="69">
        <f>523.5+4871.8-1722-343.5</f>
        <v>3329.8</v>
      </c>
      <c r="M584" s="69">
        <f>409.4+2720.1</f>
        <v>3129.5</v>
      </c>
      <c r="N584" s="69">
        <f>557.8-557.8</f>
        <v>0</v>
      </c>
      <c r="O584" s="69">
        <v>0</v>
      </c>
      <c r="X584" s="60"/>
    </row>
    <row r="585" spans="1:24" ht="31.5" x14ac:dyDescent="0.2">
      <c r="A585" s="146"/>
      <c r="B585" s="147"/>
      <c r="C585" s="74" t="s">
        <v>79</v>
      </c>
      <c r="D585" s="71">
        <f t="shared" si="258"/>
        <v>1971.3999999999999</v>
      </c>
      <c r="E585" s="71">
        <v>752.3</v>
      </c>
      <c r="F585" s="71">
        <v>0</v>
      </c>
      <c r="G585" s="71">
        <v>1219.0999999999999</v>
      </c>
      <c r="H585" s="71">
        <v>0</v>
      </c>
      <c r="I585" s="71">
        <v>0</v>
      </c>
      <c r="J585" s="71">
        <v>0</v>
      </c>
      <c r="K585" s="71">
        <v>0</v>
      </c>
      <c r="L585" s="71">
        <v>0</v>
      </c>
      <c r="M585" s="71">
        <v>0</v>
      </c>
      <c r="N585" s="71">
        <v>0</v>
      </c>
      <c r="O585" s="71">
        <v>0</v>
      </c>
    </row>
    <row r="586" spans="1:24" ht="19.5" customHeight="1" x14ac:dyDescent="0.2">
      <c r="A586" s="146"/>
      <c r="B586" s="147"/>
      <c r="C586" s="101" t="s">
        <v>13</v>
      </c>
      <c r="D586" s="69">
        <f t="shared" si="258"/>
        <v>0</v>
      </c>
      <c r="E586" s="69">
        <v>0</v>
      </c>
      <c r="F586" s="69">
        <v>0</v>
      </c>
      <c r="G586" s="69">
        <v>0</v>
      </c>
      <c r="H586" s="69">
        <v>0</v>
      </c>
      <c r="I586" s="69">
        <v>0</v>
      </c>
      <c r="J586" s="69">
        <v>0</v>
      </c>
      <c r="K586" s="69">
        <v>0</v>
      </c>
      <c r="L586" s="69">
        <v>0</v>
      </c>
      <c r="M586" s="69">
        <v>0</v>
      </c>
      <c r="N586" s="69">
        <v>0</v>
      </c>
      <c r="O586" s="69">
        <v>0</v>
      </c>
    </row>
    <row r="587" spans="1:24" ht="15.75" x14ac:dyDescent="0.2">
      <c r="A587" s="184" t="s">
        <v>83</v>
      </c>
      <c r="B587" s="147" t="s">
        <v>59</v>
      </c>
      <c r="C587" s="101" t="s">
        <v>7</v>
      </c>
      <c r="D587" s="69">
        <f t="shared" si="258"/>
        <v>125276.59999999999</v>
      </c>
      <c r="E587" s="69">
        <f t="shared" ref="E587:O587" si="266">E588+E589+E590+E591</f>
        <v>7249.7</v>
      </c>
      <c r="F587" s="69">
        <f t="shared" si="266"/>
        <v>10000</v>
      </c>
      <c r="G587" s="69">
        <f t="shared" si="266"/>
        <v>17627.099999999999</v>
      </c>
      <c r="H587" s="69">
        <f t="shared" si="266"/>
        <v>12206.2</v>
      </c>
      <c r="I587" s="69">
        <f t="shared" si="266"/>
        <v>11830</v>
      </c>
      <c r="J587" s="69">
        <f t="shared" si="266"/>
        <v>11379.4</v>
      </c>
      <c r="K587" s="69">
        <f t="shared" si="266"/>
        <v>17692</v>
      </c>
      <c r="L587" s="69">
        <f t="shared" si="266"/>
        <v>13130.2</v>
      </c>
      <c r="M587" s="69">
        <f t="shared" si="266"/>
        <v>8005.9</v>
      </c>
      <c r="N587" s="69">
        <f t="shared" si="266"/>
        <v>8138.1</v>
      </c>
      <c r="O587" s="69">
        <f t="shared" si="266"/>
        <v>8018</v>
      </c>
    </row>
    <row r="588" spans="1:24" ht="15.75" x14ac:dyDescent="0.2">
      <c r="A588" s="184"/>
      <c r="B588" s="147"/>
      <c r="C588" s="101" t="s">
        <v>10</v>
      </c>
      <c r="D588" s="69">
        <f t="shared" si="258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</row>
    <row r="589" spans="1:24" ht="15.75" x14ac:dyDescent="0.2">
      <c r="A589" s="184"/>
      <c r="B589" s="147"/>
      <c r="C589" s="101" t="s">
        <v>11</v>
      </c>
      <c r="D589" s="69">
        <f t="shared" si="258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</row>
    <row r="590" spans="1:24" ht="15.75" x14ac:dyDescent="0.2">
      <c r="A590" s="184"/>
      <c r="B590" s="147"/>
      <c r="C590" s="101" t="s">
        <v>12</v>
      </c>
      <c r="D590" s="69">
        <f t="shared" si="258"/>
        <v>125276.59999999999</v>
      </c>
      <c r="E590" s="69">
        <v>7249.7</v>
      </c>
      <c r="F590" s="69">
        <v>10000</v>
      </c>
      <c r="G590" s="69">
        <v>17627.099999999999</v>
      </c>
      <c r="H590" s="69">
        <v>12206.2</v>
      </c>
      <c r="I590" s="69">
        <v>11830</v>
      </c>
      <c r="J590" s="69">
        <f>11444.4-65</f>
        <v>11379.4</v>
      </c>
      <c r="K590" s="69">
        <f>8540+1940+2150+143.2+4918.8</f>
        <v>17692</v>
      </c>
      <c r="L590" s="69">
        <f>6900.2+4030+2200</f>
        <v>13130.2</v>
      </c>
      <c r="M590" s="57">
        <f>7316.7-410.8+1100</f>
        <v>8005.9</v>
      </c>
      <c r="N590" s="69">
        <f>7352.5+785.6</f>
        <v>8138.1</v>
      </c>
      <c r="O590" s="69">
        <f>12200-4182</f>
        <v>8018</v>
      </c>
    </row>
    <row r="591" spans="1:24" ht="26.25" customHeight="1" x14ac:dyDescent="0.2">
      <c r="A591" s="184"/>
      <c r="B591" s="147"/>
      <c r="C591" s="96" t="s">
        <v>13</v>
      </c>
      <c r="D591" s="69">
        <f t="shared" si="258"/>
        <v>0</v>
      </c>
      <c r="E591" s="69">
        <v>0</v>
      </c>
      <c r="F591" s="69">
        <v>0</v>
      </c>
      <c r="G591" s="69">
        <v>0</v>
      </c>
      <c r="H591" s="69">
        <v>0</v>
      </c>
      <c r="I591" s="69">
        <v>0</v>
      </c>
      <c r="J591" s="69">
        <v>0</v>
      </c>
      <c r="K591" s="69">
        <v>0</v>
      </c>
      <c r="L591" s="69">
        <v>0</v>
      </c>
      <c r="M591" s="69">
        <v>0</v>
      </c>
      <c r="N591" s="69">
        <v>0</v>
      </c>
      <c r="O591" s="69">
        <v>0</v>
      </c>
    </row>
    <row r="592" spans="1:24" ht="15.75" x14ac:dyDescent="0.2">
      <c r="A592" s="143" t="s">
        <v>355</v>
      </c>
      <c r="B592" s="138" t="s">
        <v>362</v>
      </c>
      <c r="C592" s="101" t="s">
        <v>7</v>
      </c>
      <c r="D592" s="69">
        <f t="shared" si="258"/>
        <v>708.6</v>
      </c>
      <c r="E592" s="69">
        <f t="shared" ref="E592:O592" si="267">E595+E593+E594+E596</f>
        <v>0</v>
      </c>
      <c r="F592" s="69">
        <f t="shared" si="267"/>
        <v>0</v>
      </c>
      <c r="G592" s="69">
        <f t="shared" si="267"/>
        <v>0</v>
      </c>
      <c r="H592" s="69">
        <f t="shared" si="267"/>
        <v>0</v>
      </c>
      <c r="I592" s="69">
        <f t="shared" si="267"/>
        <v>0</v>
      </c>
      <c r="J592" s="69">
        <f t="shared" si="267"/>
        <v>708.6</v>
      </c>
      <c r="K592" s="69">
        <f t="shared" si="267"/>
        <v>0</v>
      </c>
      <c r="L592" s="69">
        <f t="shared" si="267"/>
        <v>0</v>
      </c>
      <c r="M592" s="69">
        <f t="shared" si="267"/>
        <v>0</v>
      </c>
      <c r="N592" s="69">
        <f t="shared" si="267"/>
        <v>0</v>
      </c>
      <c r="O592" s="69">
        <f t="shared" si="267"/>
        <v>0</v>
      </c>
    </row>
    <row r="593" spans="1:17" ht="15.75" x14ac:dyDescent="0.2">
      <c r="A593" s="157"/>
      <c r="B593" s="138"/>
      <c r="C593" s="101" t="s">
        <v>10</v>
      </c>
      <c r="D593" s="69">
        <f t="shared" si="258"/>
        <v>0</v>
      </c>
      <c r="E593" s="69">
        <f>E598</f>
        <v>0</v>
      </c>
      <c r="F593" s="69">
        <f t="shared" ref="F593:O593" si="268">F598</f>
        <v>0</v>
      </c>
      <c r="G593" s="69">
        <f t="shared" si="268"/>
        <v>0</v>
      </c>
      <c r="H593" s="69">
        <f t="shared" si="268"/>
        <v>0</v>
      </c>
      <c r="I593" s="69">
        <f t="shared" si="268"/>
        <v>0</v>
      </c>
      <c r="J593" s="69">
        <f t="shared" si="268"/>
        <v>0</v>
      </c>
      <c r="K593" s="69">
        <f t="shared" si="268"/>
        <v>0</v>
      </c>
      <c r="L593" s="69">
        <f t="shared" si="268"/>
        <v>0</v>
      </c>
      <c r="M593" s="69">
        <f t="shared" si="268"/>
        <v>0</v>
      </c>
      <c r="N593" s="69">
        <f t="shared" si="268"/>
        <v>0</v>
      </c>
      <c r="O593" s="69">
        <f t="shared" si="268"/>
        <v>0</v>
      </c>
    </row>
    <row r="594" spans="1:17" ht="15.75" x14ac:dyDescent="0.2">
      <c r="A594" s="157"/>
      <c r="B594" s="138"/>
      <c r="C594" s="101" t="s">
        <v>11</v>
      </c>
      <c r="D594" s="69">
        <f t="shared" si="258"/>
        <v>708.6</v>
      </c>
      <c r="E594" s="69">
        <f>E599</f>
        <v>0</v>
      </c>
      <c r="F594" s="69">
        <f t="shared" ref="F594:O594" si="269">F599</f>
        <v>0</v>
      </c>
      <c r="G594" s="69">
        <f t="shared" si="269"/>
        <v>0</v>
      </c>
      <c r="H594" s="69">
        <f t="shared" si="269"/>
        <v>0</v>
      </c>
      <c r="I594" s="69">
        <f t="shared" si="269"/>
        <v>0</v>
      </c>
      <c r="J594" s="69">
        <f t="shared" si="269"/>
        <v>708.6</v>
      </c>
      <c r="K594" s="69">
        <f t="shared" si="269"/>
        <v>0</v>
      </c>
      <c r="L594" s="69">
        <f t="shared" si="269"/>
        <v>0</v>
      </c>
      <c r="M594" s="69">
        <f t="shared" si="269"/>
        <v>0</v>
      </c>
      <c r="N594" s="69">
        <f t="shared" si="269"/>
        <v>0</v>
      </c>
      <c r="O594" s="69">
        <f t="shared" si="269"/>
        <v>0</v>
      </c>
    </row>
    <row r="595" spans="1:17" ht="31.5" customHeight="1" x14ac:dyDescent="0.2">
      <c r="A595" s="157"/>
      <c r="B595" s="138"/>
      <c r="C595" s="101" t="s">
        <v>65</v>
      </c>
      <c r="D595" s="69">
        <f t="shared" si="258"/>
        <v>0</v>
      </c>
      <c r="E595" s="69">
        <f>E600</f>
        <v>0</v>
      </c>
      <c r="F595" s="69">
        <f t="shared" ref="F595:O595" si="270">F600</f>
        <v>0</v>
      </c>
      <c r="G595" s="69">
        <f t="shared" si="270"/>
        <v>0</v>
      </c>
      <c r="H595" s="69">
        <f t="shared" si="270"/>
        <v>0</v>
      </c>
      <c r="I595" s="69">
        <f t="shared" si="270"/>
        <v>0</v>
      </c>
      <c r="J595" s="69">
        <f t="shared" si="270"/>
        <v>0</v>
      </c>
      <c r="K595" s="69">
        <f t="shared" si="270"/>
        <v>0</v>
      </c>
      <c r="L595" s="69">
        <f t="shared" si="270"/>
        <v>0</v>
      </c>
      <c r="M595" s="69">
        <f t="shared" si="270"/>
        <v>0</v>
      </c>
      <c r="N595" s="69">
        <f t="shared" si="270"/>
        <v>0</v>
      </c>
      <c r="O595" s="69">
        <f t="shared" si="270"/>
        <v>0</v>
      </c>
    </row>
    <row r="596" spans="1:17" ht="17.25" customHeight="1" x14ac:dyDescent="0.2">
      <c r="A596" s="158"/>
      <c r="B596" s="138"/>
      <c r="C596" s="101" t="s">
        <v>13</v>
      </c>
      <c r="D596" s="69">
        <f t="shared" si="258"/>
        <v>0</v>
      </c>
      <c r="E596" s="69">
        <f>E601</f>
        <v>0</v>
      </c>
      <c r="F596" s="69">
        <f t="shared" ref="F596:O596" si="271">F601</f>
        <v>0</v>
      </c>
      <c r="G596" s="69">
        <f t="shared" si="271"/>
        <v>0</v>
      </c>
      <c r="H596" s="69">
        <f t="shared" si="271"/>
        <v>0</v>
      </c>
      <c r="I596" s="69">
        <f t="shared" si="271"/>
        <v>0</v>
      </c>
      <c r="J596" s="69">
        <f t="shared" si="271"/>
        <v>0</v>
      </c>
      <c r="K596" s="69">
        <f t="shared" si="271"/>
        <v>0</v>
      </c>
      <c r="L596" s="69">
        <f t="shared" si="271"/>
        <v>0</v>
      </c>
      <c r="M596" s="69">
        <f t="shared" si="271"/>
        <v>0</v>
      </c>
      <c r="N596" s="69">
        <f t="shared" si="271"/>
        <v>0</v>
      </c>
      <c r="O596" s="69">
        <f t="shared" si="271"/>
        <v>0</v>
      </c>
    </row>
    <row r="597" spans="1:17" ht="15.75" x14ac:dyDescent="0.2">
      <c r="A597" s="146" t="s">
        <v>356</v>
      </c>
      <c r="B597" s="147" t="s">
        <v>363</v>
      </c>
      <c r="C597" s="101" t="s">
        <v>7</v>
      </c>
      <c r="D597" s="69">
        <f t="shared" si="258"/>
        <v>708.6</v>
      </c>
      <c r="E597" s="69">
        <f t="shared" ref="E597:O597" si="272">E598+E599+E600+E601</f>
        <v>0</v>
      </c>
      <c r="F597" s="69">
        <f t="shared" si="272"/>
        <v>0</v>
      </c>
      <c r="G597" s="69">
        <f t="shared" si="272"/>
        <v>0</v>
      </c>
      <c r="H597" s="69">
        <f t="shared" si="272"/>
        <v>0</v>
      </c>
      <c r="I597" s="69">
        <f t="shared" si="272"/>
        <v>0</v>
      </c>
      <c r="J597" s="69">
        <f t="shared" si="272"/>
        <v>708.6</v>
      </c>
      <c r="K597" s="69">
        <f t="shared" si="272"/>
        <v>0</v>
      </c>
      <c r="L597" s="69">
        <f t="shared" si="272"/>
        <v>0</v>
      </c>
      <c r="M597" s="69">
        <f t="shared" si="272"/>
        <v>0</v>
      </c>
      <c r="N597" s="69">
        <f t="shared" si="272"/>
        <v>0</v>
      </c>
      <c r="O597" s="69">
        <f t="shared" si="272"/>
        <v>0</v>
      </c>
    </row>
    <row r="598" spans="1:17" ht="15.75" x14ac:dyDescent="0.2">
      <c r="A598" s="146"/>
      <c r="B598" s="147"/>
      <c r="C598" s="101" t="s">
        <v>10</v>
      </c>
      <c r="D598" s="69">
        <f t="shared" si="258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</row>
    <row r="599" spans="1:17" ht="15.75" x14ac:dyDescent="0.2">
      <c r="A599" s="146"/>
      <c r="B599" s="147"/>
      <c r="C599" s="101" t="s">
        <v>11</v>
      </c>
      <c r="D599" s="69">
        <f t="shared" si="258"/>
        <v>708.6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69">
        <v>708.6</v>
      </c>
      <c r="K599" s="69">
        <v>0</v>
      </c>
      <c r="L599" s="69">
        <v>0</v>
      </c>
      <c r="M599" s="69">
        <v>0</v>
      </c>
      <c r="N599" s="69">
        <v>0</v>
      </c>
      <c r="O599" s="69">
        <v>0</v>
      </c>
    </row>
    <row r="600" spans="1:17" ht="23.25" customHeight="1" x14ac:dyDescent="0.2">
      <c r="A600" s="146"/>
      <c r="B600" s="147"/>
      <c r="C600" s="101" t="s">
        <v>12</v>
      </c>
      <c r="D600" s="69">
        <f t="shared" si="258"/>
        <v>0</v>
      </c>
      <c r="E600" s="69">
        <v>0</v>
      </c>
      <c r="F600" s="69">
        <v>0</v>
      </c>
      <c r="G600" s="69">
        <v>0</v>
      </c>
      <c r="H600" s="69">
        <v>0</v>
      </c>
      <c r="I600" s="69">
        <v>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</row>
    <row r="601" spans="1:17" ht="24.75" customHeight="1" x14ac:dyDescent="0.2">
      <c r="A601" s="146"/>
      <c r="B601" s="147"/>
      <c r="C601" s="96" t="s">
        <v>13</v>
      </c>
      <c r="D601" s="69">
        <f t="shared" si="258"/>
        <v>0</v>
      </c>
      <c r="E601" s="69">
        <v>0</v>
      </c>
      <c r="F601" s="69">
        <v>0</v>
      </c>
      <c r="G601" s="69">
        <v>0</v>
      </c>
      <c r="H601" s="69">
        <v>0</v>
      </c>
      <c r="I601" s="69">
        <v>0</v>
      </c>
      <c r="J601" s="69">
        <v>0</v>
      </c>
      <c r="K601" s="69">
        <v>0</v>
      </c>
      <c r="L601" s="69">
        <v>0</v>
      </c>
      <c r="M601" s="69">
        <v>0</v>
      </c>
      <c r="N601" s="69">
        <v>0</v>
      </c>
      <c r="O601" s="69">
        <v>0</v>
      </c>
    </row>
    <row r="602" spans="1:17" ht="15.75" customHeight="1" x14ac:dyDescent="0.2">
      <c r="A602" s="149" t="s">
        <v>31</v>
      </c>
      <c r="B602" s="159" t="s">
        <v>330</v>
      </c>
      <c r="C602" s="97" t="s">
        <v>7</v>
      </c>
      <c r="D602" s="66">
        <f>E602+F602+G602+H602+I602+J602+K602+L602+M602+N602+O602</f>
        <v>4091238.0619999999</v>
      </c>
      <c r="E602" s="66">
        <f>E603+E604+E606+E609</f>
        <v>228156.69999999998</v>
      </c>
      <c r="F602" s="66">
        <f>F603+F604+F606+F609</f>
        <v>279787.8</v>
      </c>
      <c r="G602" s="66">
        <f t="shared" ref="G602:L602" si="273">SUM(G603:G609)</f>
        <v>257795.10000000003</v>
      </c>
      <c r="H602" s="66">
        <f t="shared" si="273"/>
        <v>267713.5</v>
      </c>
      <c r="I602" s="66">
        <f t="shared" si="273"/>
        <v>352068.4</v>
      </c>
      <c r="J602" s="66">
        <f t="shared" si="273"/>
        <v>478026.3</v>
      </c>
      <c r="K602" s="66">
        <f t="shared" si="273"/>
        <v>781436.36200000008</v>
      </c>
      <c r="L602" s="66">
        <f t="shared" si="273"/>
        <v>562909.5</v>
      </c>
      <c r="M602" s="105">
        <f>M604+M606</f>
        <v>425685.29999999993</v>
      </c>
      <c r="N602" s="66">
        <f>SUM(N603:N609)</f>
        <v>242342.2</v>
      </c>
      <c r="O602" s="66">
        <f>SUM(O603:O609)</f>
        <v>215316.89999999997</v>
      </c>
      <c r="P602" s="58"/>
      <c r="Q602" s="67"/>
    </row>
    <row r="603" spans="1:17" ht="15.75" x14ac:dyDescent="0.2">
      <c r="A603" s="149"/>
      <c r="B603" s="159"/>
      <c r="C603" s="96" t="s">
        <v>10</v>
      </c>
      <c r="D603" s="69">
        <f t="shared" si="258"/>
        <v>0</v>
      </c>
      <c r="E603" s="69">
        <f>E622+E632+E642+E657+E667+E673</f>
        <v>0</v>
      </c>
      <c r="F603" s="69">
        <f t="shared" ref="F603:O603" si="274">F622+F632+F642+F657+F667+F673</f>
        <v>0</v>
      </c>
      <c r="G603" s="69">
        <f t="shared" si="274"/>
        <v>0</v>
      </c>
      <c r="H603" s="69">
        <f t="shared" si="274"/>
        <v>0</v>
      </c>
      <c r="I603" s="69">
        <f>I622+I632+I642+I657+I667+I673</f>
        <v>0</v>
      </c>
      <c r="J603" s="69">
        <f t="shared" si="274"/>
        <v>0</v>
      </c>
      <c r="K603" s="69">
        <f t="shared" si="274"/>
        <v>0</v>
      </c>
      <c r="L603" s="69">
        <f t="shared" si="274"/>
        <v>0</v>
      </c>
      <c r="M603" s="69">
        <f t="shared" si="274"/>
        <v>0</v>
      </c>
      <c r="N603" s="69">
        <f t="shared" si="274"/>
        <v>0</v>
      </c>
      <c r="O603" s="69">
        <f t="shared" si="274"/>
        <v>0</v>
      </c>
      <c r="P603" s="60"/>
      <c r="Q603" s="60"/>
    </row>
    <row r="604" spans="1:17" ht="31.5" x14ac:dyDescent="0.2">
      <c r="A604" s="149"/>
      <c r="B604" s="159"/>
      <c r="C604" s="96" t="s">
        <v>69</v>
      </c>
      <c r="D604" s="69">
        <f t="shared" si="258"/>
        <v>1120152.7</v>
      </c>
      <c r="E604" s="69">
        <f>E612+E740</f>
        <v>0</v>
      </c>
      <c r="F604" s="69">
        <f>F612+F740</f>
        <v>0</v>
      </c>
      <c r="G604" s="69">
        <f>G612+G740</f>
        <v>0</v>
      </c>
      <c r="H604" s="69">
        <f>H612+H740</f>
        <v>0</v>
      </c>
      <c r="I604" s="69">
        <f>I612+I740+I754</f>
        <v>159753.70000000001</v>
      </c>
      <c r="J604" s="69">
        <f>J612+J740+J754</f>
        <v>282920.3</v>
      </c>
      <c r="K604" s="69">
        <f>K612+K740</f>
        <v>368985.2</v>
      </c>
      <c r="L604" s="69">
        <f>L612+L740</f>
        <v>195620.5</v>
      </c>
      <c r="M604" s="69">
        <f>M612+M740</f>
        <v>83973</v>
      </c>
      <c r="N604" s="69">
        <f>N612+N740</f>
        <v>28900</v>
      </c>
      <c r="O604" s="69">
        <f>O612+O740</f>
        <v>0</v>
      </c>
    </row>
    <row r="605" spans="1:17" ht="31.5" x14ac:dyDescent="0.2">
      <c r="A605" s="149"/>
      <c r="B605" s="159"/>
      <c r="C605" s="72" t="s">
        <v>81</v>
      </c>
      <c r="D605" s="71">
        <f t="shared" si="258"/>
        <v>11279.3</v>
      </c>
      <c r="E605" s="71">
        <f t="shared" ref="E605:L605" si="275">E741</f>
        <v>0</v>
      </c>
      <c r="F605" s="71">
        <f t="shared" si="275"/>
        <v>0</v>
      </c>
      <c r="G605" s="71">
        <f t="shared" si="275"/>
        <v>0</v>
      </c>
      <c r="H605" s="71">
        <f t="shared" si="275"/>
        <v>0</v>
      </c>
      <c r="I605" s="71">
        <f t="shared" si="275"/>
        <v>0</v>
      </c>
      <c r="J605" s="71">
        <f t="shared" si="275"/>
        <v>0</v>
      </c>
      <c r="K605" s="71">
        <f t="shared" si="275"/>
        <v>0</v>
      </c>
      <c r="L605" s="71">
        <f t="shared" si="275"/>
        <v>0</v>
      </c>
      <c r="M605" s="71">
        <f>M741</f>
        <v>11279.3</v>
      </c>
      <c r="N605" s="71">
        <f t="shared" ref="N605:O605" si="276">N741</f>
        <v>0</v>
      </c>
      <c r="O605" s="71">
        <f t="shared" si="276"/>
        <v>0</v>
      </c>
    </row>
    <row r="606" spans="1:17" ht="31.5" customHeight="1" x14ac:dyDescent="0.2">
      <c r="A606" s="149"/>
      <c r="B606" s="159"/>
      <c r="C606" s="96" t="s">
        <v>65</v>
      </c>
      <c r="D606" s="69">
        <f>E606+F606+G606+H606+I606+J606+K606+L606+M606+N606+O606</f>
        <v>2971085.3620000002</v>
      </c>
      <c r="E606" s="69">
        <f>E613+E742</f>
        <v>228156.69999999998</v>
      </c>
      <c r="F606" s="69">
        <f>F613+F742</f>
        <v>279787.8</v>
      </c>
      <c r="G606" s="69">
        <f>G613+G742</f>
        <v>257795.10000000003</v>
      </c>
      <c r="H606" s="69">
        <f>H613+H742</f>
        <v>267713.5</v>
      </c>
      <c r="I606" s="69">
        <f>I613+I742+I755</f>
        <v>192314.7</v>
      </c>
      <c r="J606" s="69">
        <f>J613+J742+J755</f>
        <v>195106</v>
      </c>
      <c r="K606" s="69">
        <f>K613+K742+K765</f>
        <v>412451.16200000007</v>
      </c>
      <c r="L606" s="69">
        <f>L613+L742+L765</f>
        <v>367289</v>
      </c>
      <c r="M606" s="57">
        <f>M613+M742+M765</f>
        <v>341712.29999999993</v>
      </c>
      <c r="N606" s="69">
        <f>N613+N742+N765</f>
        <v>213442.2</v>
      </c>
      <c r="O606" s="69">
        <f>O613+O742+O765</f>
        <v>215316.89999999997</v>
      </c>
    </row>
    <row r="607" spans="1:17" ht="31.5" x14ac:dyDescent="0.2">
      <c r="A607" s="149"/>
      <c r="B607" s="159"/>
      <c r="C607" s="74" t="s">
        <v>79</v>
      </c>
      <c r="D607" s="71">
        <f>E607+F607+G607+H607+I607+J607+K607+L607+M607+N607+O607</f>
        <v>59050</v>
      </c>
      <c r="E607" s="71">
        <f>E614</f>
        <v>30550</v>
      </c>
      <c r="F607" s="71">
        <f>F676</f>
        <v>28500</v>
      </c>
      <c r="G607" s="71">
        <f>G676</f>
        <v>0</v>
      </c>
      <c r="H607" s="71">
        <f>H676</f>
        <v>0</v>
      </c>
      <c r="I607" s="71">
        <f>I676</f>
        <v>0</v>
      </c>
      <c r="J607" s="69">
        <f t="shared" ref="J607:O607" si="277">J625+J635+J645+J660+J670+J676</f>
        <v>0</v>
      </c>
      <c r="K607" s="69">
        <f t="shared" si="277"/>
        <v>0</v>
      </c>
      <c r="L607" s="69">
        <f t="shared" si="277"/>
        <v>0</v>
      </c>
      <c r="M607" s="71">
        <f>M614</f>
        <v>0</v>
      </c>
      <c r="N607" s="69">
        <f t="shared" si="277"/>
        <v>0</v>
      </c>
      <c r="O607" s="69">
        <f t="shared" si="277"/>
        <v>0</v>
      </c>
    </row>
    <row r="608" spans="1:17" ht="31.5" x14ac:dyDescent="0.2">
      <c r="A608" s="149"/>
      <c r="B608" s="159"/>
      <c r="C608" s="72" t="s">
        <v>448</v>
      </c>
      <c r="D608" s="71">
        <f>E608+F608+G608+H608+I608+J608+K608+L608+M608+N608+O608</f>
        <v>719.9</v>
      </c>
      <c r="E608" s="71">
        <f t="shared" ref="E608:L608" si="278">E743</f>
        <v>0</v>
      </c>
      <c r="F608" s="71">
        <f t="shared" si="278"/>
        <v>0</v>
      </c>
      <c r="G608" s="71">
        <f t="shared" si="278"/>
        <v>0</v>
      </c>
      <c r="H608" s="71">
        <f t="shared" si="278"/>
        <v>0</v>
      </c>
      <c r="I608" s="71">
        <f t="shared" si="278"/>
        <v>0</v>
      </c>
      <c r="J608" s="71">
        <f t="shared" si="278"/>
        <v>0</v>
      </c>
      <c r="K608" s="71">
        <f t="shared" si="278"/>
        <v>0</v>
      </c>
      <c r="L608" s="71">
        <f t="shared" si="278"/>
        <v>0</v>
      </c>
      <c r="M608" s="71">
        <f>M743</f>
        <v>719.9</v>
      </c>
      <c r="N608" s="71">
        <f t="shared" ref="N608:O608" si="279">N743</f>
        <v>0</v>
      </c>
      <c r="O608" s="71">
        <f t="shared" si="279"/>
        <v>0</v>
      </c>
    </row>
    <row r="609" spans="1:17" ht="31.5" customHeight="1" x14ac:dyDescent="0.2">
      <c r="A609" s="149"/>
      <c r="B609" s="159"/>
      <c r="C609" s="96" t="s">
        <v>13</v>
      </c>
      <c r="D609" s="69">
        <f t="shared" si="258"/>
        <v>0</v>
      </c>
      <c r="E609" s="69">
        <f>E625+E635+E645+E660+E671+E677</f>
        <v>0</v>
      </c>
      <c r="F609" s="69">
        <f>F625+F635+F645+F660+F671+F677</f>
        <v>0</v>
      </c>
      <c r="G609" s="69">
        <f>G625+G635+G645+G660+G671+G677</f>
        <v>0</v>
      </c>
      <c r="H609" s="69">
        <v>0</v>
      </c>
      <c r="I609" s="69">
        <f t="shared" ref="I609:O609" si="280">I625+I635+I645+I660+I671+I677</f>
        <v>0</v>
      </c>
      <c r="J609" s="69">
        <f t="shared" si="280"/>
        <v>0</v>
      </c>
      <c r="K609" s="69">
        <f t="shared" si="280"/>
        <v>0</v>
      </c>
      <c r="L609" s="69">
        <f t="shared" si="280"/>
        <v>0</v>
      </c>
      <c r="M609" s="69">
        <f t="shared" si="280"/>
        <v>0</v>
      </c>
      <c r="N609" s="69">
        <f t="shared" si="280"/>
        <v>0</v>
      </c>
      <c r="O609" s="69">
        <f t="shared" si="280"/>
        <v>0</v>
      </c>
    </row>
    <row r="610" spans="1:17" ht="15.75" x14ac:dyDescent="0.2">
      <c r="A610" s="138" t="s">
        <v>34</v>
      </c>
      <c r="B610" s="138" t="s">
        <v>122</v>
      </c>
      <c r="C610" s="96" t="s">
        <v>7</v>
      </c>
      <c r="D610" s="69">
        <f t="shared" si="258"/>
        <v>3074789.2620000006</v>
      </c>
      <c r="E610" s="69">
        <f t="shared" ref="E610:O610" si="281">E611+E612+E613+E615</f>
        <v>228156.69999999998</v>
      </c>
      <c r="F610" s="69">
        <f t="shared" si="281"/>
        <v>279787.8</v>
      </c>
      <c r="G610" s="69">
        <f t="shared" si="281"/>
        <v>257795.10000000003</v>
      </c>
      <c r="H610" s="69">
        <f t="shared" si="281"/>
        <v>267713.5</v>
      </c>
      <c r="I610" s="69">
        <f t="shared" si="281"/>
        <v>299568.40000000002</v>
      </c>
      <c r="J610" s="69">
        <f t="shared" si="281"/>
        <v>249909.09999999998</v>
      </c>
      <c r="K610" s="69">
        <f t="shared" si="281"/>
        <v>373970.76200000005</v>
      </c>
      <c r="L610" s="69">
        <f t="shared" si="281"/>
        <v>348526.2</v>
      </c>
      <c r="M610" s="69">
        <f t="shared" si="281"/>
        <v>311702.59999999998</v>
      </c>
      <c r="N610" s="69">
        <f t="shared" si="281"/>
        <v>242342.2</v>
      </c>
      <c r="O610" s="69">
        <f t="shared" si="281"/>
        <v>215316.89999999997</v>
      </c>
      <c r="P610" s="58"/>
      <c r="Q610" s="67"/>
    </row>
    <row r="611" spans="1:17" ht="18" customHeight="1" x14ac:dyDescent="0.2">
      <c r="A611" s="139"/>
      <c r="B611" s="153"/>
      <c r="C611" s="96" t="s">
        <v>10</v>
      </c>
      <c r="D611" s="69">
        <f t="shared" si="258"/>
        <v>0</v>
      </c>
      <c r="E611" s="69">
        <f t="shared" ref="E611:O611" si="282">E622+E632+E642+E657+E667+E673</f>
        <v>0</v>
      </c>
      <c r="F611" s="69">
        <f t="shared" si="282"/>
        <v>0</v>
      </c>
      <c r="G611" s="69">
        <f t="shared" si="282"/>
        <v>0</v>
      </c>
      <c r="H611" s="69">
        <f t="shared" si="282"/>
        <v>0</v>
      </c>
      <c r="I611" s="69">
        <f t="shared" si="282"/>
        <v>0</v>
      </c>
      <c r="J611" s="69">
        <f t="shared" si="282"/>
        <v>0</v>
      </c>
      <c r="K611" s="69">
        <f t="shared" si="282"/>
        <v>0</v>
      </c>
      <c r="L611" s="69">
        <f t="shared" si="282"/>
        <v>0</v>
      </c>
      <c r="M611" s="69">
        <f t="shared" si="282"/>
        <v>0</v>
      </c>
      <c r="N611" s="69">
        <f t="shared" si="282"/>
        <v>0</v>
      </c>
      <c r="O611" s="69">
        <f t="shared" si="282"/>
        <v>0</v>
      </c>
    </row>
    <row r="612" spans="1:17" ht="16.5" customHeight="1" x14ac:dyDescent="0.2">
      <c r="A612" s="139"/>
      <c r="B612" s="153"/>
      <c r="C612" s="96" t="s">
        <v>11</v>
      </c>
      <c r="D612" s="69">
        <f t="shared" si="258"/>
        <v>214726.8</v>
      </c>
      <c r="E612" s="69">
        <f>E623+E633+E643+E658+E668+E674+E628+E638+E648+E653+E663+E680+E740</f>
        <v>0</v>
      </c>
      <c r="F612" s="69">
        <f>F623+F633+F643+F658+F668+F674+F628+F638+F648+F653+F663+F680+F740</f>
        <v>0</v>
      </c>
      <c r="G612" s="69">
        <f>G623+G633+G643+G658+G668+G674+G628+G638+G648+G653+G663+G680+G740</f>
        <v>0</v>
      </c>
      <c r="H612" s="69">
        <f>H623+H633+H643+H658+H668+H674+H628+H638+H648+H653+H663+H680+H740</f>
        <v>0</v>
      </c>
      <c r="I612" s="69">
        <f t="shared" ref="I612:O612" si="283">I623+I633+I643+I658+I668+I674+I628+I638+I648+I653+I663+I680</f>
        <v>109753.7</v>
      </c>
      <c r="J612" s="69">
        <f t="shared" si="283"/>
        <v>69054.2</v>
      </c>
      <c r="K612" s="69">
        <f t="shared" si="283"/>
        <v>0</v>
      </c>
      <c r="L612" s="69">
        <f t="shared" si="283"/>
        <v>0</v>
      </c>
      <c r="M612" s="69">
        <f>M720</f>
        <v>7018.9</v>
      </c>
      <c r="N612" s="69">
        <f>N725</f>
        <v>28900</v>
      </c>
      <c r="O612" s="69">
        <f t="shared" si="283"/>
        <v>0</v>
      </c>
    </row>
    <row r="613" spans="1:17" ht="31.5" x14ac:dyDescent="0.2">
      <c r="A613" s="139"/>
      <c r="B613" s="153"/>
      <c r="C613" s="96" t="s">
        <v>65</v>
      </c>
      <c r="D613" s="69">
        <f t="shared" si="258"/>
        <v>2860062.4619999998</v>
      </c>
      <c r="E613" s="69">
        <f>E619+E624+E634+E639+E644+E654+E659+E669+E675+E681++E664+E742+E686</f>
        <v>228156.69999999998</v>
      </c>
      <c r="F613" s="69">
        <f>F619+F624+F634+F639+F644+F654+F659+F669+F675+F681++F664+F742+F686</f>
        <v>279787.8</v>
      </c>
      <c r="G613" s="69">
        <f>G619+G624+G634+G639+G644+G654+G659+G669+G675+G681++G664+G742+G686</f>
        <v>257795.10000000003</v>
      </c>
      <c r="H613" s="69">
        <f>H619+H624+H634+H639+H644+H654+H659+H669+H675+H681++H664+H742+H686</f>
        <v>267713.5</v>
      </c>
      <c r="I613" s="69">
        <f>I619+I624+I634+I639+I644+I654+I659+I669+I675+I681++I664+I686</f>
        <v>189814.7</v>
      </c>
      <c r="J613" s="69">
        <f>J619+J624+J634+J639+J644+J654+J659+J669+J675+J681++J664+J686</f>
        <v>180854.9</v>
      </c>
      <c r="K613" s="69">
        <f>K619+K624+K634+K639+K644+K654+K659+K669+K675+K681++K664+K686+K691+K696+K701+K706+K711</f>
        <v>373970.76200000005</v>
      </c>
      <c r="L613" s="69">
        <f>L619+L624+L634+L639+L644+L654+L659+L669+L675+L681++L664+L686+L691+L696+L701+L706+L711+L716</f>
        <v>348526.2</v>
      </c>
      <c r="M613" s="69">
        <f>M619+M624+M634+M639+M644+M654+M659+M669+M675+M681++M664+M686+M691+M696+M701+M706+M711+M716+M721+M733</f>
        <v>304683.69999999995</v>
      </c>
      <c r="N613" s="69">
        <f>N619+N624+N634+N639+N644+N654+N659+N669+N675+N681++N664+N686+N691+N696+N701+N706+N711+N716</f>
        <v>213442.2</v>
      </c>
      <c r="O613" s="69">
        <f>O619+O624+O634+O639+O644+O654+O659+O669+O675+O681++O664+O686+O691+O696+O701+O706+O711+O716</f>
        <v>215316.89999999997</v>
      </c>
    </row>
    <row r="614" spans="1:17" ht="31.5" x14ac:dyDescent="0.2">
      <c r="A614" s="139"/>
      <c r="B614" s="153"/>
      <c r="C614" s="74" t="s">
        <v>79</v>
      </c>
      <c r="D614" s="71">
        <f t="shared" si="258"/>
        <v>59050</v>
      </c>
      <c r="E614" s="71">
        <f>E676+E670</f>
        <v>30550</v>
      </c>
      <c r="F614" s="71">
        <f>F676+F670</f>
        <v>28500</v>
      </c>
      <c r="G614" s="71">
        <f>G676+G670</f>
        <v>0</v>
      </c>
      <c r="H614" s="71">
        <f>H676+H670</f>
        <v>0</v>
      </c>
      <c r="I614" s="71">
        <f>I676+I670</f>
        <v>0</v>
      </c>
      <c r="J614" s="69">
        <f t="shared" ref="J614:O614" si="284">J625+J635+J645+J660+J670+J676</f>
        <v>0</v>
      </c>
      <c r="K614" s="69">
        <f t="shared" si="284"/>
        <v>0</v>
      </c>
      <c r="L614" s="69">
        <f t="shared" si="284"/>
        <v>0</v>
      </c>
      <c r="M614" s="69">
        <f t="shared" si="284"/>
        <v>0</v>
      </c>
      <c r="N614" s="69">
        <f t="shared" si="284"/>
        <v>0</v>
      </c>
      <c r="O614" s="69">
        <f t="shared" si="284"/>
        <v>0</v>
      </c>
    </row>
    <row r="615" spans="1:17" ht="17.25" customHeight="1" x14ac:dyDescent="0.2">
      <c r="A615" s="139"/>
      <c r="B615" s="153"/>
      <c r="C615" s="96" t="s">
        <v>13</v>
      </c>
      <c r="D615" s="69">
        <f t="shared" si="258"/>
        <v>0</v>
      </c>
      <c r="E615" s="69">
        <f>E635+E645+E660+E671+E677</f>
        <v>0</v>
      </c>
      <c r="F615" s="69">
        <f>F635+F645+F660+F671+F677</f>
        <v>0</v>
      </c>
      <c r="G615" s="69">
        <f>G635+G645+G660+G671+G677</f>
        <v>0</v>
      </c>
      <c r="H615" s="69">
        <f>H635+H645+H660+H671+H677</f>
        <v>0</v>
      </c>
      <c r="I615" s="69">
        <f>I635+I645+I660+I671+I677</f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</row>
    <row r="616" spans="1:17" ht="15.75" x14ac:dyDescent="0.2">
      <c r="A616" s="138" t="s">
        <v>123</v>
      </c>
      <c r="B616" s="147" t="s">
        <v>152</v>
      </c>
      <c r="C616" s="96" t="s">
        <v>7</v>
      </c>
      <c r="D616" s="69">
        <f>SUM(D617:D620)</f>
        <v>42071.3</v>
      </c>
      <c r="E616" s="69">
        <f t="shared" ref="E616:J616" si="285">SUM(E617:E620)</f>
        <v>42071.3</v>
      </c>
      <c r="F616" s="69">
        <f t="shared" si="285"/>
        <v>0</v>
      </c>
      <c r="G616" s="69">
        <f t="shared" si="285"/>
        <v>0</v>
      </c>
      <c r="H616" s="69">
        <f t="shared" si="285"/>
        <v>0</v>
      </c>
      <c r="I616" s="69">
        <f t="shared" si="285"/>
        <v>0</v>
      </c>
      <c r="J616" s="69">
        <f t="shared" si="285"/>
        <v>0</v>
      </c>
      <c r="K616" s="69">
        <v>0</v>
      </c>
      <c r="L616" s="69">
        <f>SUM(L617:L620)</f>
        <v>0</v>
      </c>
      <c r="M616" s="69">
        <f>SUM(M617:M620)</f>
        <v>0</v>
      </c>
      <c r="N616" s="69">
        <f>SUM(N617:N620)</f>
        <v>0</v>
      </c>
      <c r="O616" s="69">
        <v>0</v>
      </c>
    </row>
    <row r="617" spans="1:17" ht="18.75" customHeight="1" x14ac:dyDescent="0.2">
      <c r="A617" s="139"/>
      <c r="B617" s="147"/>
      <c r="C617" s="96" t="s">
        <v>10</v>
      </c>
      <c r="D617" s="69">
        <v>0</v>
      </c>
      <c r="E617" s="69">
        <v>0</v>
      </c>
      <c r="F617" s="69">
        <v>0</v>
      </c>
      <c r="G617" s="69">
        <v>0</v>
      </c>
      <c r="H617" s="69">
        <v>0</v>
      </c>
      <c r="I617" s="69">
        <v>0</v>
      </c>
      <c r="J617" s="69">
        <v>0</v>
      </c>
      <c r="K617" s="69">
        <v>0</v>
      </c>
      <c r="L617" s="69">
        <v>0</v>
      </c>
      <c r="M617" s="69">
        <v>0</v>
      </c>
      <c r="N617" s="69">
        <v>0</v>
      </c>
      <c r="O617" s="69">
        <v>0</v>
      </c>
    </row>
    <row r="618" spans="1:17" ht="17.25" customHeight="1" x14ac:dyDescent="0.2">
      <c r="A618" s="139"/>
      <c r="B618" s="147"/>
      <c r="C618" s="96" t="s">
        <v>11</v>
      </c>
      <c r="D618" s="82">
        <v>0</v>
      </c>
      <c r="E618" s="82">
        <v>0</v>
      </c>
      <c r="F618" s="82">
        <v>0</v>
      </c>
      <c r="G618" s="82">
        <v>0</v>
      </c>
      <c r="H618" s="82">
        <v>0</v>
      </c>
      <c r="I618" s="82">
        <v>0</v>
      </c>
      <c r="J618" s="82">
        <v>0</v>
      </c>
      <c r="K618" s="82">
        <v>0</v>
      </c>
      <c r="L618" s="82">
        <v>0</v>
      </c>
      <c r="M618" s="82">
        <v>0</v>
      </c>
      <c r="N618" s="82">
        <v>0</v>
      </c>
      <c r="O618" s="82">
        <v>0</v>
      </c>
    </row>
    <row r="619" spans="1:17" ht="17.25" customHeight="1" x14ac:dyDescent="0.2">
      <c r="A619" s="139"/>
      <c r="B619" s="147"/>
      <c r="C619" s="96" t="s">
        <v>12</v>
      </c>
      <c r="D619" s="69">
        <f>SUM(E619:J619)</f>
        <v>42071.3</v>
      </c>
      <c r="E619" s="69">
        <v>42071.3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</row>
    <row r="620" spans="1:17" ht="25.5" customHeight="1" x14ac:dyDescent="0.2">
      <c r="A620" s="139"/>
      <c r="B620" s="147"/>
      <c r="C620" s="96" t="s">
        <v>13</v>
      </c>
      <c r="D620" s="69">
        <f>E620+F620+G620+H620+I620+J620</f>
        <v>0</v>
      </c>
      <c r="E620" s="69">
        <v>0</v>
      </c>
      <c r="F620" s="69">
        <v>0</v>
      </c>
      <c r="G620" s="69">
        <v>0</v>
      </c>
      <c r="H620" s="69">
        <v>0</v>
      </c>
      <c r="I620" s="69">
        <v>0</v>
      </c>
      <c r="J620" s="69">
        <v>0</v>
      </c>
      <c r="K620" s="69">
        <v>0</v>
      </c>
      <c r="L620" s="69">
        <v>0</v>
      </c>
      <c r="M620" s="69">
        <v>0</v>
      </c>
      <c r="N620" s="69">
        <v>0</v>
      </c>
      <c r="O620" s="69">
        <v>0</v>
      </c>
    </row>
    <row r="621" spans="1:17" ht="15.75" customHeight="1" x14ac:dyDescent="0.2">
      <c r="A621" s="138" t="s">
        <v>124</v>
      </c>
      <c r="B621" s="147" t="s">
        <v>135</v>
      </c>
      <c r="C621" s="96" t="s">
        <v>7</v>
      </c>
      <c r="D621" s="69">
        <f>E621+F621+G621+H621+I621+J621+K621+L621+M621+N621+O621</f>
        <v>224030.40000000002</v>
      </c>
      <c r="E621" s="69">
        <f t="shared" ref="E621:O621" si="286">SUM(E622:E625)</f>
        <v>0</v>
      </c>
      <c r="F621" s="69">
        <f t="shared" si="286"/>
        <v>52211</v>
      </c>
      <c r="G621" s="69">
        <f t="shared" si="286"/>
        <v>40056.800000000003</v>
      </c>
      <c r="H621" s="69">
        <f t="shared" si="286"/>
        <v>54812.9</v>
      </c>
      <c r="I621" s="69">
        <f t="shared" si="286"/>
        <v>33448.6</v>
      </c>
      <c r="J621" s="69">
        <f t="shared" si="286"/>
        <v>10688.6</v>
      </c>
      <c r="K621" s="69">
        <f t="shared" si="286"/>
        <v>32812.5</v>
      </c>
      <c r="L621" s="69">
        <f t="shared" si="286"/>
        <v>0</v>
      </c>
      <c r="M621" s="69">
        <f t="shared" si="286"/>
        <v>0</v>
      </c>
      <c r="N621" s="69">
        <f t="shared" si="286"/>
        <v>0</v>
      </c>
      <c r="O621" s="69">
        <f t="shared" si="286"/>
        <v>0</v>
      </c>
    </row>
    <row r="622" spans="1:17" ht="15.75" customHeight="1" x14ac:dyDescent="0.2">
      <c r="A622" s="139"/>
      <c r="B622" s="147"/>
      <c r="C622" s="96" t="s">
        <v>10</v>
      </c>
      <c r="D622" s="69">
        <f t="shared" ref="D622:D740" si="287">E622+F622+G622+H622+I622+J622+K622+L622+M622+N622+O622</f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</row>
    <row r="623" spans="1:17" ht="15.75" customHeight="1" x14ac:dyDescent="0.2">
      <c r="A623" s="139"/>
      <c r="B623" s="147"/>
      <c r="C623" s="96" t="s">
        <v>11</v>
      </c>
      <c r="D623" s="69">
        <f t="shared" si="287"/>
        <v>0</v>
      </c>
      <c r="E623" s="82">
        <v>0</v>
      </c>
      <c r="F623" s="82">
        <v>0</v>
      </c>
      <c r="G623" s="82">
        <v>0</v>
      </c>
      <c r="H623" s="82">
        <v>0</v>
      </c>
      <c r="I623" s="82">
        <v>0</v>
      </c>
      <c r="J623" s="82">
        <v>0</v>
      </c>
      <c r="K623" s="82">
        <v>0</v>
      </c>
      <c r="L623" s="82">
        <v>0</v>
      </c>
      <c r="M623" s="82">
        <v>0</v>
      </c>
      <c r="N623" s="82">
        <v>0</v>
      </c>
      <c r="O623" s="82">
        <v>0</v>
      </c>
    </row>
    <row r="624" spans="1:17" ht="15.75" customHeight="1" x14ac:dyDescent="0.2">
      <c r="A624" s="139"/>
      <c r="B624" s="147"/>
      <c r="C624" s="96" t="s">
        <v>12</v>
      </c>
      <c r="D624" s="69">
        <f t="shared" si="287"/>
        <v>224030.40000000002</v>
      </c>
      <c r="E624" s="69">
        <v>0</v>
      </c>
      <c r="F624" s="69">
        <v>52211</v>
      </c>
      <c r="G624" s="69">
        <v>40056.800000000003</v>
      </c>
      <c r="H624" s="69">
        <v>54812.9</v>
      </c>
      <c r="I624" s="69">
        <f>33108.6+340</f>
        <v>33448.6</v>
      </c>
      <c r="J624" s="69">
        <f>10688.6-0.1+0.1</f>
        <v>10688.6</v>
      </c>
      <c r="K624" s="69">
        <f>33518.8-706.3</f>
        <v>32812.5</v>
      </c>
      <c r="L624" s="69">
        <v>0</v>
      </c>
      <c r="M624" s="69">
        <v>0</v>
      </c>
      <c r="N624" s="69">
        <v>0</v>
      </c>
      <c r="O624" s="69">
        <v>0</v>
      </c>
    </row>
    <row r="625" spans="1:15" ht="25.5" customHeight="1" x14ac:dyDescent="0.2">
      <c r="A625" s="139"/>
      <c r="B625" s="147"/>
      <c r="C625" s="96" t="s">
        <v>13</v>
      </c>
      <c r="D625" s="69">
        <f t="shared" si="287"/>
        <v>0</v>
      </c>
      <c r="E625" s="69">
        <v>0</v>
      </c>
      <c r="F625" s="69">
        <v>0</v>
      </c>
      <c r="G625" s="69">
        <v>0</v>
      </c>
      <c r="H625" s="69">
        <v>0</v>
      </c>
      <c r="I625" s="69">
        <v>0</v>
      </c>
      <c r="J625" s="69">
        <v>0</v>
      </c>
      <c r="K625" s="69">
        <v>0</v>
      </c>
      <c r="L625" s="69">
        <v>0</v>
      </c>
      <c r="M625" s="69">
        <v>0</v>
      </c>
      <c r="N625" s="69">
        <v>0</v>
      </c>
      <c r="O625" s="69">
        <v>0</v>
      </c>
    </row>
    <row r="626" spans="1:15" ht="24" customHeight="1" x14ac:dyDescent="0.2">
      <c r="A626" s="138" t="s">
        <v>125</v>
      </c>
      <c r="B626" s="147" t="s">
        <v>265</v>
      </c>
      <c r="C626" s="96" t="s">
        <v>7</v>
      </c>
      <c r="D626" s="69">
        <f t="shared" si="287"/>
        <v>54854.5</v>
      </c>
      <c r="E626" s="69">
        <f t="shared" ref="E626:O626" si="288">SUM(E627:E630)</f>
        <v>0</v>
      </c>
      <c r="F626" s="69">
        <f t="shared" si="288"/>
        <v>0</v>
      </c>
      <c r="G626" s="69">
        <f t="shared" si="288"/>
        <v>0</v>
      </c>
      <c r="H626" s="69">
        <f t="shared" si="288"/>
        <v>0</v>
      </c>
      <c r="I626" s="69">
        <f t="shared" si="288"/>
        <v>26485.599999999999</v>
      </c>
      <c r="J626" s="69">
        <f t="shared" si="288"/>
        <v>28368.9</v>
      </c>
      <c r="K626" s="69">
        <f t="shared" si="288"/>
        <v>0</v>
      </c>
      <c r="L626" s="69">
        <f t="shared" si="288"/>
        <v>0</v>
      </c>
      <c r="M626" s="69">
        <f t="shared" si="288"/>
        <v>0</v>
      </c>
      <c r="N626" s="69">
        <f t="shared" si="288"/>
        <v>0</v>
      </c>
      <c r="O626" s="69">
        <f t="shared" si="288"/>
        <v>0</v>
      </c>
    </row>
    <row r="627" spans="1:15" ht="24" customHeight="1" x14ac:dyDescent="0.2">
      <c r="A627" s="139"/>
      <c r="B627" s="147"/>
      <c r="C627" s="96" t="s">
        <v>10</v>
      </c>
      <c r="D627" s="69">
        <f t="shared" si="287"/>
        <v>0</v>
      </c>
      <c r="E627" s="69">
        <v>0</v>
      </c>
      <c r="F627" s="69">
        <v>0</v>
      </c>
      <c r="G627" s="69">
        <v>0</v>
      </c>
      <c r="H627" s="69">
        <v>0</v>
      </c>
      <c r="I627" s="69">
        <v>0</v>
      </c>
      <c r="J627" s="69">
        <v>0</v>
      </c>
      <c r="K627" s="69">
        <v>0</v>
      </c>
      <c r="L627" s="69">
        <v>0</v>
      </c>
      <c r="M627" s="69">
        <v>0</v>
      </c>
      <c r="N627" s="69">
        <v>0</v>
      </c>
      <c r="O627" s="69">
        <v>0</v>
      </c>
    </row>
    <row r="628" spans="1:15" ht="24" customHeight="1" x14ac:dyDescent="0.2">
      <c r="A628" s="139"/>
      <c r="B628" s="147"/>
      <c r="C628" s="96" t="s">
        <v>11</v>
      </c>
      <c r="D628" s="69">
        <f t="shared" si="287"/>
        <v>54854.5</v>
      </c>
      <c r="E628" s="82">
        <v>0</v>
      </c>
      <c r="F628" s="82">
        <v>0</v>
      </c>
      <c r="G628" s="82">
        <v>0</v>
      </c>
      <c r="H628" s="82">
        <v>0</v>
      </c>
      <c r="I628" s="82">
        <v>26485.599999999999</v>
      </c>
      <c r="J628" s="82">
        <f>39057.5-10688.6</f>
        <v>28368.9</v>
      </c>
      <c r="K628" s="82">
        <v>0</v>
      </c>
      <c r="L628" s="82">
        <v>0</v>
      </c>
      <c r="M628" s="82">
        <v>0</v>
      </c>
      <c r="N628" s="82">
        <v>0</v>
      </c>
      <c r="O628" s="82">
        <v>0</v>
      </c>
    </row>
    <row r="629" spans="1:15" ht="24" customHeight="1" x14ac:dyDescent="0.2">
      <c r="A629" s="139"/>
      <c r="B629" s="147"/>
      <c r="C629" s="96" t="s">
        <v>12</v>
      </c>
      <c r="D629" s="69">
        <f t="shared" si="287"/>
        <v>0</v>
      </c>
      <c r="E629" s="69">
        <v>0</v>
      </c>
      <c r="F629" s="69">
        <v>0</v>
      </c>
      <c r="G629" s="69">
        <v>0</v>
      </c>
      <c r="H629" s="69">
        <v>0</v>
      </c>
      <c r="I629" s="69">
        <v>0</v>
      </c>
      <c r="J629" s="69">
        <v>0</v>
      </c>
      <c r="K629" s="69">
        <v>0</v>
      </c>
      <c r="L629" s="69">
        <v>0</v>
      </c>
      <c r="M629" s="69">
        <v>0</v>
      </c>
      <c r="N629" s="69">
        <v>0</v>
      </c>
      <c r="O629" s="69">
        <v>0</v>
      </c>
    </row>
    <row r="630" spans="1:15" ht="24" customHeight="1" x14ac:dyDescent="0.2">
      <c r="A630" s="139"/>
      <c r="B630" s="147"/>
      <c r="C630" s="96" t="s">
        <v>13</v>
      </c>
      <c r="D630" s="69">
        <f t="shared" si="287"/>
        <v>0</v>
      </c>
      <c r="E630" s="69">
        <v>0</v>
      </c>
      <c r="F630" s="69">
        <v>0</v>
      </c>
      <c r="G630" s="69">
        <v>0</v>
      </c>
      <c r="H630" s="69">
        <v>0</v>
      </c>
      <c r="I630" s="69">
        <v>0</v>
      </c>
      <c r="J630" s="69">
        <v>0</v>
      </c>
      <c r="K630" s="69">
        <v>0</v>
      </c>
      <c r="L630" s="69">
        <v>0</v>
      </c>
      <c r="M630" s="69">
        <v>0</v>
      </c>
      <c r="N630" s="69">
        <v>0</v>
      </c>
      <c r="O630" s="69">
        <v>0</v>
      </c>
    </row>
    <row r="631" spans="1:15" ht="15.75" customHeight="1" x14ac:dyDescent="0.25">
      <c r="A631" s="138" t="s">
        <v>126</v>
      </c>
      <c r="B631" s="147" t="s">
        <v>44</v>
      </c>
      <c r="C631" s="86" t="s">
        <v>7</v>
      </c>
      <c r="D631" s="69">
        <f t="shared" si="287"/>
        <v>457857.39999999997</v>
      </c>
      <c r="E631" s="82">
        <f t="shared" ref="E631:O631" si="289">E632+E633+E634+E635</f>
        <v>47997.7</v>
      </c>
      <c r="F631" s="82">
        <f t="shared" si="289"/>
        <v>54818</v>
      </c>
      <c r="G631" s="82">
        <f>G632+G633+G634+G635</f>
        <v>75015.600000000006</v>
      </c>
      <c r="H631" s="82">
        <f t="shared" si="289"/>
        <v>70853</v>
      </c>
      <c r="I631" s="82">
        <f t="shared" si="289"/>
        <v>74592.900000000009</v>
      </c>
      <c r="J631" s="82">
        <f t="shared" si="289"/>
        <v>77207.3</v>
      </c>
      <c r="K631" s="82">
        <f t="shared" si="289"/>
        <v>53504.3</v>
      </c>
      <c r="L631" s="82">
        <f t="shared" si="289"/>
        <v>1605.8</v>
      </c>
      <c r="M631" s="82">
        <f t="shared" si="289"/>
        <v>1447.7999999999997</v>
      </c>
      <c r="N631" s="82">
        <f t="shared" si="289"/>
        <v>407.5</v>
      </c>
      <c r="O631" s="82">
        <f t="shared" si="289"/>
        <v>407.5</v>
      </c>
    </row>
    <row r="632" spans="1:15" ht="15.75" customHeight="1" x14ac:dyDescent="0.2">
      <c r="A632" s="139"/>
      <c r="B632" s="153"/>
      <c r="C632" s="96" t="s">
        <v>10</v>
      </c>
      <c r="D632" s="69">
        <f t="shared" si="287"/>
        <v>0</v>
      </c>
      <c r="E632" s="82">
        <v>0</v>
      </c>
      <c r="F632" s="82">
        <v>0</v>
      </c>
      <c r="G632" s="82">
        <v>0</v>
      </c>
      <c r="H632" s="82">
        <v>0</v>
      </c>
      <c r="I632" s="82">
        <v>0</v>
      </c>
      <c r="J632" s="82">
        <v>0</v>
      </c>
      <c r="K632" s="82">
        <v>0</v>
      </c>
      <c r="L632" s="82">
        <v>0</v>
      </c>
      <c r="M632" s="82">
        <v>0</v>
      </c>
      <c r="N632" s="82">
        <v>0</v>
      </c>
      <c r="O632" s="82">
        <v>0</v>
      </c>
    </row>
    <row r="633" spans="1:15" ht="15.75" customHeight="1" x14ac:dyDescent="0.2">
      <c r="A633" s="139"/>
      <c r="B633" s="153"/>
      <c r="C633" s="96" t="s">
        <v>11</v>
      </c>
      <c r="D633" s="69">
        <f t="shared" si="287"/>
        <v>0</v>
      </c>
      <c r="E633" s="82">
        <v>0</v>
      </c>
      <c r="F633" s="82">
        <v>0</v>
      </c>
      <c r="G633" s="82">
        <v>0</v>
      </c>
      <c r="H633" s="82">
        <v>0</v>
      </c>
      <c r="I633" s="82">
        <v>0</v>
      </c>
      <c r="J633" s="82">
        <v>0</v>
      </c>
      <c r="K633" s="82">
        <v>0</v>
      </c>
      <c r="L633" s="82">
        <v>0</v>
      </c>
      <c r="M633" s="82">
        <v>0</v>
      </c>
      <c r="N633" s="82">
        <v>0</v>
      </c>
      <c r="O633" s="82">
        <v>0</v>
      </c>
    </row>
    <row r="634" spans="1:15" ht="15.75" customHeight="1" x14ac:dyDescent="0.2">
      <c r="A634" s="139"/>
      <c r="B634" s="153"/>
      <c r="C634" s="96" t="s">
        <v>12</v>
      </c>
      <c r="D634" s="69">
        <f t="shared" si="287"/>
        <v>457857.39999999997</v>
      </c>
      <c r="E634" s="82">
        <v>47997.7</v>
      </c>
      <c r="F634" s="82">
        <v>54818</v>
      </c>
      <c r="G634" s="82">
        <v>75015.600000000006</v>
      </c>
      <c r="H634" s="82">
        <v>70853</v>
      </c>
      <c r="I634" s="82">
        <f>74919.3-326.4</f>
        <v>74592.900000000009</v>
      </c>
      <c r="J634" s="82">
        <f>78197.5-990.2</f>
        <v>77207.3</v>
      </c>
      <c r="K634" s="82">
        <f>83504.3-30000</f>
        <v>53504.3</v>
      </c>
      <c r="L634" s="82">
        <f>1664.8-59</f>
        <v>1605.8</v>
      </c>
      <c r="M634" s="82">
        <f>1835.8-1446.2+471.3+70.8+516.1</f>
        <v>1447.7999999999997</v>
      </c>
      <c r="N634" s="82">
        <f>1918.6-1511.1</f>
        <v>407.5</v>
      </c>
      <c r="O634" s="82">
        <f>1918.6-1511.1</f>
        <v>407.5</v>
      </c>
    </row>
    <row r="635" spans="1:15" ht="15.75" customHeight="1" x14ac:dyDescent="0.2">
      <c r="A635" s="139"/>
      <c r="B635" s="153"/>
      <c r="C635" s="96" t="s">
        <v>13</v>
      </c>
      <c r="D635" s="69">
        <f t="shared" si="287"/>
        <v>0</v>
      </c>
      <c r="E635" s="82">
        <v>0</v>
      </c>
      <c r="F635" s="82">
        <v>0</v>
      </c>
      <c r="G635" s="82">
        <v>0</v>
      </c>
      <c r="H635" s="82">
        <v>0</v>
      </c>
      <c r="I635" s="82">
        <v>0</v>
      </c>
      <c r="J635" s="82">
        <v>0</v>
      </c>
      <c r="K635" s="82">
        <v>0</v>
      </c>
      <c r="L635" s="82">
        <v>0</v>
      </c>
      <c r="M635" s="82">
        <v>0</v>
      </c>
      <c r="N635" s="82">
        <v>0</v>
      </c>
      <c r="O635" s="82">
        <v>0</v>
      </c>
    </row>
    <row r="636" spans="1:15" ht="17.25" customHeight="1" x14ac:dyDescent="0.25">
      <c r="A636" s="143" t="s">
        <v>127</v>
      </c>
      <c r="B636" s="138" t="s">
        <v>153</v>
      </c>
      <c r="C636" s="86" t="s">
        <v>7</v>
      </c>
      <c r="D636" s="69">
        <f t="shared" si="287"/>
        <v>25746.6</v>
      </c>
      <c r="E636" s="82">
        <f t="shared" ref="E636:K636" si="290">E637+E638+E639+E640</f>
        <v>25746.6</v>
      </c>
      <c r="F636" s="82">
        <f t="shared" si="290"/>
        <v>0</v>
      </c>
      <c r="G636" s="82">
        <f t="shared" si="290"/>
        <v>0</v>
      </c>
      <c r="H636" s="82">
        <f t="shared" si="290"/>
        <v>0</v>
      </c>
      <c r="I636" s="82">
        <f t="shared" si="290"/>
        <v>0</v>
      </c>
      <c r="J636" s="82">
        <f t="shared" si="290"/>
        <v>0</v>
      </c>
      <c r="K636" s="82">
        <f t="shared" si="290"/>
        <v>0</v>
      </c>
      <c r="L636" s="82">
        <f>L637+L638+L639+L640</f>
        <v>0</v>
      </c>
      <c r="M636" s="82">
        <f>M637+M638+M639+M640</f>
        <v>0</v>
      </c>
      <c r="N636" s="82">
        <f>N637+N638+N639+N640</f>
        <v>0</v>
      </c>
      <c r="O636" s="82">
        <f>O637+O638+O639+O640</f>
        <v>0</v>
      </c>
    </row>
    <row r="637" spans="1:15" ht="17.25" customHeight="1" x14ac:dyDescent="0.2">
      <c r="A637" s="157"/>
      <c r="B637" s="153"/>
      <c r="C637" s="96" t="s">
        <v>10</v>
      </c>
      <c r="D637" s="69">
        <f t="shared" si="287"/>
        <v>0</v>
      </c>
      <c r="E637" s="82">
        <v>0</v>
      </c>
      <c r="F637" s="82">
        <v>0</v>
      </c>
      <c r="G637" s="82">
        <v>0</v>
      </c>
      <c r="H637" s="82">
        <v>0</v>
      </c>
      <c r="I637" s="82">
        <v>0</v>
      </c>
      <c r="J637" s="82">
        <v>0</v>
      </c>
      <c r="K637" s="82">
        <v>0</v>
      </c>
      <c r="L637" s="82">
        <v>0</v>
      </c>
      <c r="M637" s="82">
        <v>0</v>
      </c>
      <c r="N637" s="82">
        <v>0</v>
      </c>
      <c r="O637" s="82">
        <v>0</v>
      </c>
    </row>
    <row r="638" spans="1:15" ht="18" customHeight="1" x14ac:dyDescent="0.2">
      <c r="A638" s="157"/>
      <c r="B638" s="153"/>
      <c r="C638" s="96" t="s">
        <v>11</v>
      </c>
      <c r="D638" s="69">
        <f t="shared" si="287"/>
        <v>0</v>
      </c>
      <c r="E638" s="82">
        <v>0</v>
      </c>
      <c r="F638" s="82">
        <v>0</v>
      </c>
      <c r="G638" s="82">
        <v>0</v>
      </c>
      <c r="H638" s="82">
        <v>0</v>
      </c>
      <c r="I638" s="82">
        <v>0</v>
      </c>
      <c r="J638" s="82">
        <v>0</v>
      </c>
      <c r="K638" s="82">
        <v>0</v>
      </c>
      <c r="L638" s="82">
        <v>0</v>
      </c>
      <c r="M638" s="82">
        <v>0</v>
      </c>
      <c r="N638" s="82">
        <v>0</v>
      </c>
      <c r="O638" s="82">
        <v>0</v>
      </c>
    </row>
    <row r="639" spans="1:15" ht="15.75" customHeight="1" x14ac:dyDescent="0.2">
      <c r="A639" s="157"/>
      <c r="B639" s="153"/>
      <c r="C639" s="96" t="s">
        <v>12</v>
      </c>
      <c r="D639" s="69">
        <f t="shared" si="287"/>
        <v>25746.6</v>
      </c>
      <c r="E639" s="82">
        <v>25746.6</v>
      </c>
      <c r="F639" s="82">
        <v>0</v>
      </c>
      <c r="G639" s="82">
        <v>0</v>
      </c>
      <c r="H639" s="82">
        <v>0</v>
      </c>
      <c r="I639" s="82">
        <v>0</v>
      </c>
      <c r="J639" s="82">
        <v>0</v>
      </c>
      <c r="K639" s="82">
        <v>0</v>
      </c>
      <c r="L639" s="82">
        <v>0</v>
      </c>
      <c r="M639" s="82">
        <v>0</v>
      </c>
      <c r="N639" s="82">
        <v>0</v>
      </c>
      <c r="O639" s="82">
        <v>0</v>
      </c>
    </row>
    <row r="640" spans="1:15" ht="33.75" customHeight="1" x14ac:dyDescent="0.2">
      <c r="A640" s="158"/>
      <c r="B640" s="153"/>
      <c r="C640" s="96" t="s">
        <v>13</v>
      </c>
      <c r="D640" s="69">
        <f t="shared" si="287"/>
        <v>0</v>
      </c>
      <c r="E640" s="82">
        <v>0</v>
      </c>
      <c r="F640" s="82">
        <v>0</v>
      </c>
      <c r="G640" s="82">
        <v>0</v>
      </c>
      <c r="H640" s="82">
        <v>0</v>
      </c>
      <c r="I640" s="82">
        <v>0</v>
      </c>
      <c r="J640" s="82">
        <v>0</v>
      </c>
      <c r="K640" s="82">
        <v>0</v>
      </c>
      <c r="L640" s="82">
        <v>0</v>
      </c>
      <c r="M640" s="82">
        <v>0</v>
      </c>
      <c r="N640" s="82">
        <v>0</v>
      </c>
      <c r="O640" s="82">
        <v>0</v>
      </c>
    </row>
    <row r="641" spans="1:17" ht="15.75" x14ac:dyDescent="0.2">
      <c r="A641" s="138" t="s">
        <v>128</v>
      </c>
      <c r="B641" s="147" t="s">
        <v>136</v>
      </c>
      <c r="C641" s="83" t="s">
        <v>7</v>
      </c>
      <c r="D641" s="69">
        <f>E641+F641+G641+H641+I641+J641+K641+L641+M641+N641+O641</f>
        <v>356354.50000000006</v>
      </c>
      <c r="E641" s="82">
        <f t="shared" ref="E641:J641" si="291">SUM(E642:E645)</f>
        <v>0</v>
      </c>
      <c r="F641" s="82">
        <f t="shared" si="291"/>
        <v>36667.5</v>
      </c>
      <c r="G641" s="82">
        <f t="shared" si="291"/>
        <v>33267.5</v>
      </c>
      <c r="H641" s="82">
        <f t="shared" si="291"/>
        <v>35169.599999999999</v>
      </c>
      <c r="I641" s="82">
        <f t="shared" si="291"/>
        <v>22060.600000000002</v>
      </c>
      <c r="J641" s="82">
        <f t="shared" si="291"/>
        <v>19768.5</v>
      </c>
      <c r="K641" s="82">
        <f>SUM(K642:K645)</f>
        <v>46323.700000000004</v>
      </c>
      <c r="L641" s="82">
        <f>SUM(L642:L645)</f>
        <v>56144.700000000004</v>
      </c>
      <c r="M641" s="82">
        <f>SUM(M642:M645)</f>
        <v>41834.700000000004</v>
      </c>
      <c r="N641" s="82">
        <f>SUM(N642:N645)</f>
        <v>32800.9</v>
      </c>
      <c r="O641" s="82">
        <f>SUM(O642:O645)</f>
        <v>32316.800000000003</v>
      </c>
    </row>
    <row r="642" spans="1:17" ht="15.75" customHeight="1" x14ac:dyDescent="0.2">
      <c r="A642" s="139"/>
      <c r="B642" s="148"/>
      <c r="C642" s="96" t="s">
        <v>10</v>
      </c>
      <c r="D642" s="69">
        <f t="shared" si="287"/>
        <v>0</v>
      </c>
      <c r="E642" s="82">
        <v>0</v>
      </c>
      <c r="F642" s="82">
        <v>0</v>
      </c>
      <c r="G642" s="82">
        <v>0</v>
      </c>
      <c r="H642" s="82">
        <v>0</v>
      </c>
      <c r="I642" s="82">
        <v>0</v>
      </c>
      <c r="J642" s="82">
        <v>0</v>
      </c>
      <c r="K642" s="82">
        <v>0</v>
      </c>
      <c r="L642" s="82">
        <v>0</v>
      </c>
      <c r="M642" s="82">
        <v>0</v>
      </c>
      <c r="N642" s="82">
        <v>0</v>
      </c>
      <c r="O642" s="82">
        <v>0</v>
      </c>
    </row>
    <row r="643" spans="1:17" ht="15.75" customHeight="1" x14ac:dyDescent="0.2">
      <c r="A643" s="139"/>
      <c r="B643" s="148"/>
      <c r="C643" s="96" t="s">
        <v>11</v>
      </c>
      <c r="D643" s="69">
        <f t="shared" si="287"/>
        <v>0</v>
      </c>
      <c r="E643" s="82">
        <v>0</v>
      </c>
      <c r="F643" s="82">
        <v>0</v>
      </c>
      <c r="G643" s="82">
        <v>0</v>
      </c>
      <c r="H643" s="82">
        <v>0</v>
      </c>
      <c r="I643" s="82">
        <v>0</v>
      </c>
      <c r="J643" s="82">
        <v>0</v>
      </c>
      <c r="K643" s="82">
        <v>0</v>
      </c>
      <c r="L643" s="82">
        <v>0</v>
      </c>
      <c r="M643" s="82">
        <v>0</v>
      </c>
      <c r="N643" s="82">
        <v>0</v>
      </c>
      <c r="O643" s="82">
        <v>0</v>
      </c>
    </row>
    <row r="644" spans="1:17" ht="15.75" customHeight="1" x14ac:dyDescent="0.2">
      <c r="A644" s="139"/>
      <c r="B644" s="148"/>
      <c r="C644" s="96" t="s">
        <v>12</v>
      </c>
      <c r="D644" s="69">
        <f t="shared" si="287"/>
        <v>356354.50000000006</v>
      </c>
      <c r="E644" s="82">
        <v>0</v>
      </c>
      <c r="F644" s="82">
        <v>36667.5</v>
      </c>
      <c r="G644" s="82">
        <v>33267.5</v>
      </c>
      <c r="H644" s="82">
        <v>35169.599999999999</v>
      </c>
      <c r="I644" s="82">
        <f>23852.9-1792.3</f>
        <v>22060.600000000002</v>
      </c>
      <c r="J644" s="82">
        <f>28768.5-9000</f>
        <v>19768.5</v>
      </c>
      <c r="K644" s="82">
        <f>29083+5516.8+7690+4019.9+14</f>
        <v>46323.700000000004</v>
      </c>
      <c r="L644" s="82">
        <f>34599.8+8000+6572.8+59+6913.1</f>
        <v>56144.700000000004</v>
      </c>
      <c r="M644" s="104">
        <f>35983.8-8149.1+10000+4000</f>
        <v>41834.700000000004</v>
      </c>
      <c r="N644" s="82">
        <f>37423.1-4622.2</f>
        <v>32800.9</v>
      </c>
      <c r="O644" s="82">
        <f>87586.3-55269.5</f>
        <v>32316.800000000003</v>
      </c>
    </row>
    <row r="645" spans="1:17" ht="21.75" customHeight="1" x14ac:dyDescent="0.2">
      <c r="A645" s="139"/>
      <c r="B645" s="148"/>
      <c r="C645" s="96" t="s">
        <v>13</v>
      </c>
      <c r="D645" s="69">
        <f t="shared" si="287"/>
        <v>0</v>
      </c>
      <c r="E645" s="82">
        <v>0</v>
      </c>
      <c r="F645" s="82">
        <v>0</v>
      </c>
      <c r="G645" s="82">
        <v>0</v>
      </c>
      <c r="H645" s="82">
        <v>0</v>
      </c>
      <c r="I645" s="82">
        <v>0</v>
      </c>
      <c r="J645" s="82">
        <v>0</v>
      </c>
      <c r="K645" s="82">
        <v>0</v>
      </c>
      <c r="L645" s="82">
        <v>0</v>
      </c>
      <c r="M645" s="82">
        <v>0</v>
      </c>
      <c r="N645" s="82">
        <v>0</v>
      </c>
      <c r="O645" s="82">
        <v>0</v>
      </c>
    </row>
    <row r="646" spans="1:17" ht="22.5" customHeight="1" x14ac:dyDescent="0.25">
      <c r="A646" s="138" t="s">
        <v>205</v>
      </c>
      <c r="B646" s="147" t="s">
        <v>364</v>
      </c>
      <c r="C646" s="86" t="s">
        <v>7</v>
      </c>
      <c r="D646" s="69">
        <f>E646+F646+G646+H646+I646+J646+K646+L646+M646+N646+O646</f>
        <v>32005.9</v>
      </c>
      <c r="E646" s="82">
        <f t="shared" ref="E646:K646" si="292">SUM(E647:E650)</f>
        <v>0</v>
      </c>
      <c r="F646" s="82">
        <f t="shared" si="292"/>
        <v>0</v>
      </c>
      <c r="G646" s="82">
        <f t="shared" si="292"/>
        <v>0</v>
      </c>
      <c r="H646" s="82">
        <f t="shared" si="292"/>
        <v>0</v>
      </c>
      <c r="I646" s="82">
        <f t="shared" si="292"/>
        <v>22691.4</v>
      </c>
      <c r="J646" s="82">
        <f t="shared" si="292"/>
        <v>9314.5</v>
      </c>
      <c r="K646" s="82">
        <f t="shared" si="292"/>
        <v>0</v>
      </c>
      <c r="L646" s="82">
        <f>SUM(L647:L650)</f>
        <v>0</v>
      </c>
      <c r="M646" s="82">
        <f>SUM(M647:M650)</f>
        <v>0</v>
      </c>
      <c r="N646" s="82">
        <f>SUM(N647:N650)</f>
        <v>0</v>
      </c>
      <c r="O646" s="82">
        <f>SUM(O647:O650)</f>
        <v>0</v>
      </c>
      <c r="P646" s="60">
        <f>I644+I648</f>
        <v>44752</v>
      </c>
      <c r="Q646" s="60"/>
    </row>
    <row r="647" spans="1:17" ht="22.5" customHeight="1" x14ac:dyDescent="0.2">
      <c r="A647" s="139"/>
      <c r="B647" s="148"/>
      <c r="C647" s="96" t="s">
        <v>10</v>
      </c>
      <c r="D647" s="69">
        <f t="shared" si="287"/>
        <v>0</v>
      </c>
      <c r="E647" s="82">
        <v>0</v>
      </c>
      <c r="F647" s="82">
        <v>0</v>
      </c>
      <c r="G647" s="82">
        <v>0</v>
      </c>
      <c r="H647" s="82">
        <v>0</v>
      </c>
      <c r="I647" s="82">
        <v>0</v>
      </c>
      <c r="J647" s="82">
        <v>0</v>
      </c>
      <c r="K647" s="82">
        <v>0</v>
      </c>
      <c r="L647" s="82">
        <v>0</v>
      </c>
      <c r="M647" s="82">
        <v>0</v>
      </c>
      <c r="N647" s="82">
        <v>0</v>
      </c>
      <c r="O647" s="82">
        <v>0</v>
      </c>
    </row>
    <row r="648" spans="1:17" ht="22.5" customHeight="1" x14ac:dyDescent="0.2">
      <c r="A648" s="139"/>
      <c r="B648" s="148"/>
      <c r="C648" s="96" t="s">
        <v>11</v>
      </c>
      <c r="D648" s="69">
        <f t="shared" si="287"/>
        <v>32005.9</v>
      </c>
      <c r="E648" s="82">
        <v>0</v>
      </c>
      <c r="F648" s="82">
        <v>0</v>
      </c>
      <c r="G648" s="82">
        <v>0</v>
      </c>
      <c r="H648" s="82">
        <v>0</v>
      </c>
      <c r="I648" s="82">
        <v>22691.4</v>
      </c>
      <c r="J648" s="82">
        <f>38083-28768.5</f>
        <v>9314.5</v>
      </c>
      <c r="K648" s="82">
        <v>0</v>
      </c>
      <c r="L648" s="82">
        <v>0</v>
      </c>
      <c r="M648" s="82">
        <v>0</v>
      </c>
      <c r="N648" s="82">
        <v>0</v>
      </c>
      <c r="O648" s="82">
        <v>0</v>
      </c>
    </row>
    <row r="649" spans="1:17" ht="22.5" customHeight="1" x14ac:dyDescent="0.2">
      <c r="A649" s="139"/>
      <c r="B649" s="148"/>
      <c r="C649" s="96" t="s">
        <v>12</v>
      </c>
      <c r="D649" s="69">
        <f t="shared" si="287"/>
        <v>0</v>
      </c>
      <c r="E649" s="82">
        <v>0</v>
      </c>
      <c r="F649" s="82">
        <v>0</v>
      </c>
      <c r="G649" s="82">
        <v>0</v>
      </c>
      <c r="H649" s="82">
        <v>0</v>
      </c>
      <c r="I649" s="82">
        <v>0</v>
      </c>
      <c r="J649" s="82">
        <v>0</v>
      </c>
      <c r="K649" s="82">
        <v>0</v>
      </c>
      <c r="L649" s="82">
        <v>0</v>
      </c>
      <c r="M649" s="82">
        <v>0</v>
      </c>
      <c r="N649" s="82">
        <v>0</v>
      </c>
      <c r="O649" s="82">
        <v>0</v>
      </c>
    </row>
    <row r="650" spans="1:17" ht="22.5" customHeight="1" x14ac:dyDescent="0.2">
      <c r="A650" s="139"/>
      <c r="B650" s="148"/>
      <c r="C650" s="96" t="s">
        <v>13</v>
      </c>
      <c r="D650" s="69">
        <f t="shared" si="287"/>
        <v>0</v>
      </c>
      <c r="E650" s="82">
        <v>0</v>
      </c>
      <c r="F650" s="82">
        <v>0</v>
      </c>
      <c r="G650" s="82">
        <v>0</v>
      </c>
      <c r="H650" s="82">
        <v>0</v>
      </c>
      <c r="I650" s="82">
        <v>0</v>
      </c>
      <c r="J650" s="82">
        <v>0</v>
      </c>
      <c r="K650" s="82">
        <v>0</v>
      </c>
      <c r="L650" s="82">
        <v>0</v>
      </c>
      <c r="M650" s="82">
        <v>0</v>
      </c>
      <c r="N650" s="82">
        <v>0</v>
      </c>
      <c r="O650" s="82">
        <v>0</v>
      </c>
    </row>
    <row r="651" spans="1:17" ht="23.25" customHeight="1" x14ac:dyDescent="0.2">
      <c r="A651" s="138" t="s">
        <v>206</v>
      </c>
      <c r="B651" s="147" t="s">
        <v>228</v>
      </c>
      <c r="C651" s="96" t="s">
        <v>7</v>
      </c>
      <c r="D651" s="69">
        <f t="shared" si="287"/>
        <v>62441</v>
      </c>
      <c r="E651" s="82">
        <f t="shared" ref="E651:K651" si="293">SUM(E652:E655)</f>
        <v>62441</v>
      </c>
      <c r="F651" s="82">
        <f t="shared" si="293"/>
        <v>0</v>
      </c>
      <c r="G651" s="82">
        <f t="shared" si="293"/>
        <v>0</v>
      </c>
      <c r="H651" s="82">
        <f t="shared" si="293"/>
        <v>0</v>
      </c>
      <c r="I651" s="82">
        <f t="shared" si="293"/>
        <v>0</v>
      </c>
      <c r="J651" s="82">
        <f t="shared" si="293"/>
        <v>0</v>
      </c>
      <c r="K651" s="82">
        <f t="shared" si="293"/>
        <v>0</v>
      </c>
      <c r="L651" s="82">
        <f>SUM(L652:L655)</f>
        <v>0</v>
      </c>
      <c r="M651" s="82">
        <f>SUM(M652:M655)</f>
        <v>0</v>
      </c>
      <c r="N651" s="82">
        <f>SUM(N652:N655)</f>
        <v>0</v>
      </c>
      <c r="O651" s="82">
        <f>SUM(O652:O655)</f>
        <v>0</v>
      </c>
    </row>
    <row r="652" spans="1:17" ht="23.25" customHeight="1" x14ac:dyDescent="0.2">
      <c r="A652" s="139"/>
      <c r="B652" s="147"/>
      <c r="C652" s="96" t="s">
        <v>10</v>
      </c>
      <c r="D652" s="69">
        <f t="shared" si="287"/>
        <v>0</v>
      </c>
      <c r="E652" s="82">
        <v>0</v>
      </c>
      <c r="F652" s="82">
        <v>0</v>
      </c>
      <c r="G652" s="82">
        <v>0</v>
      </c>
      <c r="H652" s="82">
        <v>0</v>
      </c>
      <c r="I652" s="82">
        <v>0</v>
      </c>
      <c r="J652" s="82">
        <v>0</v>
      </c>
      <c r="K652" s="82">
        <v>0</v>
      </c>
      <c r="L652" s="82">
        <v>0</v>
      </c>
      <c r="M652" s="82">
        <v>0</v>
      </c>
      <c r="N652" s="82">
        <v>0</v>
      </c>
      <c r="O652" s="82">
        <v>0</v>
      </c>
    </row>
    <row r="653" spans="1:17" ht="23.25" customHeight="1" x14ac:dyDescent="0.2">
      <c r="A653" s="139"/>
      <c r="B653" s="147"/>
      <c r="C653" s="96" t="s">
        <v>11</v>
      </c>
      <c r="D653" s="69">
        <f t="shared" si="287"/>
        <v>0</v>
      </c>
      <c r="E653" s="82">
        <v>0</v>
      </c>
      <c r="F653" s="82">
        <v>0</v>
      </c>
      <c r="G653" s="82">
        <v>0</v>
      </c>
      <c r="H653" s="82">
        <v>0</v>
      </c>
      <c r="I653" s="82">
        <v>0</v>
      </c>
      <c r="J653" s="82">
        <v>0</v>
      </c>
      <c r="K653" s="82">
        <v>0</v>
      </c>
      <c r="L653" s="82">
        <v>0</v>
      </c>
      <c r="M653" s="82">
        <v>0</v>
      </c>
      <c r="N653" s="82">
        <v>0</v>
      </c>
      <c r="O653" s="82">
        <v>0</v>
      </c>
    </row>
    <row r="654" spans="1:17" ht="23.25" customHeight="1" x14ac:dyDescent="0.2">
      <c r="A654" s="139"/>
      <c r="B654" s="147"/>
      <c r="C654" s="96" t="s">
        <v>12</v>
      </c>
      <c r="D654" s="69">
        <f t="shared" si="287"/>
        <v>62441</v>
      </c>
      <c r="E654" s="82">
        <v>62441</v>
      </c>
      <c r="F654" s="82">
        <v>0</v>
      </c>
      <c r="G654" s="82">
        <v>0</v>
      </c>
      <c r="H654" s="82">
        <v>0</v>
      </c>
      <c r="I654" s="82">
        <v>0</v>
      </c>
      <c r="J654" s="82">
        <v>0</v>
      </c>
      <c r="K654" s="82">
        <v>0</v>
      </c>
      <c r="L654" s="82">
        <v>0</v>
      </c>
      <c r="M654" s="82">
        <v>0</v>
      </c>
      <c r="N654" s="82">
        <v>0</v>
      </c>
      <c r="O654" s="82">
        <v>0</v>
      </c>
    </row>
    <row r="655" spans="1:17" ht="23.25" customHeight="1" x14ac:dyDescent="0.2">
      <c r="A655" s="139"/>
      <c r="B655" s="147"/>
      <c r="C655" s="96" t="s">
        <v>13</v>
      </c>
      <c r="D655" s="69">
        <f t="shared" si="287"/>
        <v>0</v>
      </c>
      <c r="E655" s="82">
        <v>0</v>
      </c>
      <c r="F655" s="82">
        <v>0</v>
      </c>
      <c r="G655" s="82">
        <v>0</v>
      </c>
      <c r="H655" s="82">
        <v>0</v>
      </c>
      <c r="I655" s="82">
        <v>0</v>
      </c>
      <c r="J655" s="82">
        <v>0</v>
      </c>
      <c r="K655" s="82">
        <v>0</v>
      </c>
      <c r="L655" s="82">
        <v>0</v>
      </c>
      <c r="M655" s="82">
        <v>0</v>
      </c>
      <c r="N655" s="82">
        <v>0</v>
      </c>
      <c r="O655" s="82">
        <v>0</v>
      </c>
    </row>
    <row r="656" spans="1:17" ht="24.75" customHeight="1" x14ac:dyDescent="0.2">
      <c r="A656" s="138" t="s">
        <v>207</v>
      </c>
      <c r="B656" s="147" t="s">
        <v>442</v>
      </c>
      <c r="C656" s="96" t="s">
        <v>7</v>
      </c>
      <c r="D656" s="69">
        <f>E656+F656+G656+H656+I656+J656+K656+L656+M656+N656+O656</f>
        <v>606188.30000000005</v>
      </c>
      <c r="E656" s="82">
        <f t="shared" ref="E656:O656" si="294">SUM(E657:E660)</f>
        <v>1932.4</v>
      </c>
      <c r="F656" s="82">
        <f t="shared" si="294"/>
        <v>76373.399999999994</v>
      </c>
      <c r="G656" s="82">
        <f t="shared" si="294"/>
        <v>73973.399999999994</v>
      </c>
      <c r="H656" s="82">
        <f t="shared" si="294"/>
        <v>75506</v>
      </c>
      <c r="I656" s="82">
        <f t="shared" si="294"/>
        <v>14907.4</v>
      </c>
      <c r="J656" s="82">
        <f t="shared" si="294"/>
        <v>34818.300000000003</v>
      </c>
      <c r="K656" s="82">
        <f t="shared" si="294"/>
        <v>103745.79999999999</v>
      </c>
      <c r="L656" s="82">
        <f t="shared" si="294"/>
        <v>94719.7</v>
      </c>
      <c r="M656" s="82">
        <f t="shared" si="294"/>
        <v>55506.19999999999</v>
      </c>
      <c r="N656" s="82">
        <f t="shared" si="294"/>
        <v>36138.799999999996</v>
      </c>
      <c r="O656" s="82">
        <f t="shared" si="294"/>
        <v>38566.899999999987</v>
      </c>
    </row>
    <row r="657" spans="1:26" ht="24.75" customHeight="1" x14ac:dyDescent="0.2">
      <c r="A657" s="139"/>
      <c r="B657" s="147"/>
      <c r="C657" s="96" t="s">
        <v>10</v>
      </c>
      <c r="D657" s="69">
        <f t="shared" si="287"/>
        <v>0</v>
      </c>
      <c r="E657" s="82">
        <v>0</v>
      </c>
      <c r="F657" s="82">
        <v>0</v>
      </c>
      <c r="G657" s="82">
        <v>0</v>
      </c>
      <c r="H657" s="82">
        <v>0</v>
      </c>
      <c r="I657" s="82">
        <v>0</v>
      </c>
      <c r="J657" s="82">
        <v>0</v>
      </c>
      <c r="K657" s="82">
        <v>0</v>
      </c>
      <c r="L657" s="82">
        <v>0</v>
      </c>
      <c r="M657" s="82">
        <v>0</v>
      </c>
      <c r="N657" s="82">
        <v>0</v>
      </c>
      <c r="O657" s="82">
        <v>0</v>
      </c>
    </row>
    <row r="658" spans="1:26" ht="24.75" customHeight="1" x14ac:dyDescent="0.2">
      <c r="A658" s="139"/>
      <c r="B658" s="147"/>
      <c r="C658" s="96" t="s">
        <v>11</v>
      </c>
      <c r="D658" s="69">
        <f t="shared" si="287"/>
        <v>0</v>
      </c>
      <c r="E658" s="82">
        <v>0</v>
      </c>
      <c r="F658" s="82">
        <v>0</v>
      </c>
      <c r="G658" s="82">
        <v>0</v>
      </c>
      <c r="H658" s="82">
        <v>0</v>
      </c>
      <c r="I658" s="82">
        <v>0</v>
      </c>
      <c r="J658" s="82">
        <v>0</v>
      </c>
      <c r="K658" s="82">
        <v>0</v>
      </c>
      <c r="L658" s="82">
        <v>0</v>
      </c>
      <c r="M658" s="82">
        <v>0</v>
      </c>
      <c r="N658" s="82">
        <v>0</v>
      </c>
      <c r="O658" s="82">
        <v>0</v>
      </c>
    </row>
    <row r="659" spans="1:26" ht="24.75" customHeight="1" x14ac:dyDescent="0.2">
      <c r="A659" s="139"/>
      <c r="B659" s="147"/>
      <c r="C659" s="96" t="s">
        <v>12</v>
      </c>
      <c r="D659" s="69">
        <f t="shared" si="287"/>
        <v>606188.30000000005</v>
      </c>
      <c r="E659" s="82">
        <v>1932.4</v>
      </c>
      <c r="F659" s="82">
        <v>76373.399999999994</v>
      </c>
      <c r="G659" s="82">
        <v>73973.399999999994</v>
      </c>
      <c r="H659" s="82">
        <v>75506</v>
      </c>
      <c r="I659" s="82">
        <f>21398.5-6491.1</f>
        <v>14907.4</v>
      </c>
      <c r="J659" s="82">
        <f>42143.1-20000+4043.7+8631.5</f>
        <v>34818.300000000003</v>
      </c>
      <c r="K659" s="82">
        <f>62603+5000+2210.9+4495+16930+12506.9</f>
        <v>103745.79999999999</v>
      </c>
      <c r="L659" s="82">
        <f>72098+61.2+16000-1839.5+8400</f>
        <v>94719.7</v>
      </c>
      <c r="M659" s="104">
        <f>74981.9-6930.1-9269.9-8913-19332.1+15000+969.4+9000</f>
        <v>55506.19999999999</v>
      </c>
      <c r="N659" s="82">
        <f>77981.2-7311.3-11903.5-19332.1-3295.5</f>
        <v>36138.799999999996</v>
      </c>
      <c r="O659" s="82">
        <f>141380.3-83481.3-19332.1</f>
        <v>38566.899999999987</v>
      </c>
    </row>
    <row r="660" spans="1:26" ht="44.25" customHeight="1" x14ac:dyDescent="0.2">
      <c r="A660" s="139"/>
      <c r="B660" s="147"/>
      <c r="C660" s="96" t="s">
        <v>13</v>
      </c>
      <c r="D660" s="69">
        <f t="shared" si="287"/>
        <v>0</v>
      </c>
      <c r="E660" s="82">
        <v>0</v>
      </c>
      <c r="F660" s="82">
        <v>0</v>
      </c>
      <c r="G660" s="82">
        <v>0</v>
      </c>
      <c r="H660" s="82">
        <v>0</v>
      </c>
      <c r="I660" s="82">
        <v>0</v>
      </c>
      <c r="J660" s="82">
        <v>0</v>
      </c>
      <c r="K660" s="82">
        <v>0</v>
      </c>
      <c r="L660" s="82">
        <v>0</v>
      </c>
      <c r="M660" s="82">
        <v>0</v>
      </c>
      <c r="N660" s="82">
        <v>0</v>
      </c>
      <c r="O660" s="82">
        <v>0</v>
      </c>
    </row>
    <row r="661" spans="1:26" ht="33" customHeight="1" x14ac:dyDescent="0.2">
      <c r="A661" s="138" t="s">
        <v>231</v>
      </c>
      <c r="B661" s="147" t="s">
        <v>361</v>
      </c>
      <c r="C661" s="96" t="s">
        <v>7</v>
      </c>
      <c r="D661" s="69">
        <f>E661+F661+G661+H661+I661+J661+K661+L661+M661+N661+O661</f>
        <v>91947.5</v>
      </c>
      <c r="E661" s="82">
        <f t="shared" ref="E661:O661" si="295">SUM(E662:E665)</f>
        <v>0</v>
      </c>
      <c r="F661" s="82">
        <f t="shared" si="295"/>
        <v>0</v>
      </c>
      <c r="G661" s="82">
        <f t="shared" si="295"/>
        <v>0</v>
      </c>
      <c r="H661" s="82">
        <f t="shared" si="295"/>
        <v>0</v>
      </c>
      <c r="I661" s="82">
        <f>SUM(I662:I665)</f>
        <v>60576.7</v>
      </c>
      <c r="J661" s="82">
        <f t="shared" si="295"/>
        <v>31370.799999999996</v>
      </c>
      <c r="K661" s="82">
        <f t="shared" si="295"/>
        <v>0</v>
      </c>
      <c r="L661" s="82">
        <f t="shared" si="295"/>
        <v>0</v>
      </c>
      <c r="M661" s="82">
        <f t="shared" si="295"/>
        <v>0</v>
      </c>
      <c r="N661" s="82">
        <f t="shared" si="295"/>
        <v>0</v>
      </c>
      <c r="O661" s="82">
        <f t="shared" si="295"/>
        <v>0</v>
      </c>
    </row>
    <row r="662" spans="1:26" ht="33" customHeight="1" x14ac:dyDescent="0.2">
      <c r="A662" s="139"/>
      <c r="B662" s="147"/>
      <c r="C662" s="96" t="s">
        <v>10</v>
      </c>
      <c r="D662" s="69">
        <f t="shared" si="287"/>
        <v>0</v>
      </c>
      <c r="E662" s="82">
        <v>0</v>
      </c>
      <c r="F662" s="82">
        <v>0</v>
      </c>
      <c r="G662" s="82">
        <v>0</v>
      </c>
      <c r="H662" s="82">
        <v>0</v>
      </c>
      <c r="I662" s="82">
        <v>0</v>
      </c>
      <c r="J662" s="82">
        <v>0</v>
      </c>
      <c r="K662" s="82">
        <v>0</v>
      </c>
      <c r="L662" s="82">
        <v>0</v>
      </c>
      <c r="M662" s="82">
        <v>0</v>
      </c>
      <c r="N662" s="82">
        <v>0</v>
      </c>
      <c r="O662" s="82">
        <v>0</v>
      </c>
    </row>
    <row r="663" spans="1:26" ht="33" customHeight="1" x14ac:dyDescent="0.2">
      <c r="A663" s="139"/>
      <c r="B663" s="147"/>
      <c r="C663" s="96" t="s">
        <v>11</v>
      </c>
      <c r="D663" s="69">
        <f t="shared" si="287"/>
        <v>91947.5</v>
      </c>
      <c r="E663" s="82">
        <v>0</v>
      </c>
      <c r="F663" s="82">
        <v>0</v>
      </c>
      <c r="G663" s="82">
        <v>0</v>
      </c>
      <c r="H663" s="82">
        <v>0</v>
      </c>
      <c r="I663" s="82">
        <v>60576.7</v>
      </c>
      <c r="J663" s="82">
        <f>73513.9-42143.1</f>
        <v>31370.799999999996</v>
      </c>
      <c r="K663" s="82">
        <v>0</v>
      </c>
      <c r="L663" s="82">
        <v>0</v>
      </c>
      <c r="M663" s="82">
        <v>0</v>
      </c>
      <c r="N663" s="82">
        <v>0</v>
      </c>
      <c r="O663" s="82">
        <v>0</v>
      </c>
    </row>
    <row r="664" spans="1:26" ht="33" customHeight="1" x14ac:dyDescent="0.2">
      <c r="A664" s="139"/>
      <c r="B664" s="147"/>
      <c r="C664" s="96" t="s">
        <v>12</v>
      </c>
      <c r="D664" s="69">
        <f t="shared" si="287"/>
        <v>0</v>
      </c>
      <c r="E664" s="82">
        <v>0</v>
      </c>
      <c r="F664" s="82">
        <v>0</v>
      </c>
      <c r="G664" s="82">
        <v>0</v>
      </c>
      <c r="H664" s="82">
        <v>0</v>
      </c>
      <c r="I664" s="82">
        <v>0</v>
      </c>
      <c r="J664" s="82">
        <v>0</v>
      </c>
      <c r="K664" s="82">
        <v>0</v>
      </c>
      <c r="L664" s="82">
        <v>0</v>
      </c>
      <c r="M664" s="82">
        <v>0</v>
      </c>
      <c r="N664" s="82">
        <v>0</v>
      </c>
      <c r="O664" s="82">
        <v>0</v>
      </c>
    </row>
    <row r="665" spans="1:26" ht="33" customHeight="1" x14ac:dyDescent="0.2">
      <c r="A665" s="139"/>
      <c r="B665" s="147"/>
      <c r="C665" s="96" t="s">
        <v>13</v>
      </c>
      <c r="D665" s="69">
        <f t="shared" si="287"/>
        <v>0</v>
      </c>
      <c r="E665" s="82">
        <v>0</v>
      </c>
      <c r="F665" s="82">
        <v>0</v>
      </c>
      <c r="G665" s="82">
        <v>0</v>
      </c>
      <c r="H665" s="82">
        <v>0</v>
      </c>
      <c r="I665" s="82">
        <v>0</v>
      </c>
      <c r="J665" s="82">
        <v>0</v>
      </c>
      <c r="K665" s="82">
        <v>0</v>
      </c>
      <c r="L665" s="82">
        <v>0</v>
      </c>
      <c r="M665" s="82">
        <v>0</v>
      </c>
      <c r="N665" s="82">
        <v>0</v>
      </c>
      <c r="O665" s="82">
        <v>0</v>
      </c>
    </row>
    <row r="666" spans="1:26" ht="17.25" customHeight="1" x14ac:dyDescent="0.2">
      <c r="A666" s="138" t="s">
        <v>266</v>
      </c>
      <c r="B666" s="150" t="s">
        <v>53</v>
      </c>
      <c r="C666" s="96" t="s">
        <v>7</v>
      </c>
      <c r="D666" s="69">
        <f t="shared" si="287"/>
        <v>281437.06200000003</v>
      </c>
      <c r="E666" s="82">
        <f>E669+E668+E667+E671</f>
        <v>19291.8</v>
      </c>
      <c r="F666" s="82">
        <f t="shared" ref="F666:K666" si="296">SUM(F667:F671)</f>
        <v>23807.200000000001</v>
      </c>
      <c r="G666" s="82">
        <f t="shared" si="296"/>
        <v>28234.6</v>
      </c>
      <c r="H666" s="82">
        <f t="shared" si="296"/>
        <v>22369.4</v>
      </c>
      <c r="I666" s="82">
        <f t="shared" si="296"/>
        <v>22792.7</v>
      </c>
      <c r="J666" s="82">
        <f t="shared" si="296"/>
        <v>25918.3</v>
      </c>
      <c r="K666" s="82">
        <f t="shared" si="296"/>
        <v>42433.862000000001</v>
      </c>
      <c r="L666" s="82">
        <f>SUM(L667:L671)</f>
        <v>35783.599999999999</v>
      </c>
      <c r="M666" s="82">
        <f>SUM(M667:M671)</f>
        <v>39882.199999999997</v>
      </c>
      <c r="N666" s="82">
        <f>SUM(N667:N671)</f>
        <v>10539.5</v>
      </c>
      <c r="O666" s="82">
        <f>SUM(O667:O671)</f>
        <v>10383.900000000001</v>
      </c>
    </row>
    <row r="667" spans="1:26" ht="15.75" x14ac:dyDescent="0.2">
      <c r="A667" s="138"/>
      <c r="B667" s="179"/>
      <c r="C667" s="96" t="s">
        <v>10</v>
      </c>
      <c r="D667" s="69">
        <f t="shared" si="287"/>
        <v>0</v>
      </c>
      <c r="E667" s="82">
        <v>0</v>
      </c>
      <c r="F667" s="82">
        <v>0</v>
      </c>
      <c r="G667" s="82">
        <v>0</v>
      </c>
      <c r="H667" s="82">
        <v>0</v>
      </c>
      <c r="I667" s="82">
        <v>0</v>
      </c>
      <c r="J667" s="82">
        <v>0</v>
      </c>
      <c r="K667" s="82">
        <v>0</v>
      </c>
      <c r="L667" s="82">
        <v>0</v>
      </c>
      <c r="M667" s="82">
        <v>0</v>
      </c>
      <c r="N667" s="82">
        <v>0</v>
      </c>
      <c r="O667" s="82">
        <v>0</v>
      </c>
    </row>
    <row r="668" spans="1:26" ht="15.75" x14ac:dyDescent="0.2">
      <c r="A668" s="138"/>
      <c r="B668" s="179"/>
      <c r="C668" s="96" t="s">
        <v>11</v>
      </c>
      <c r="D668" s="69">
        <f t="shared" si="287"/>
        <v>0</v>
      </c>
      <c r="E668" s="82">
        <v>0</v>
      </c>
      <c r="F668" s="82">
        <v>0</v>
      </c>
      <c r="G668" s="82">
        <v>0</v>
      </c>
      <c r="H668" s="82">
        <v>0</v>
      </c>
      <c r="I668" s="82">
        <v>0</v>
      </c>
      <c r="J668" s="82">
        <v>0</v>
      </c>
      <c r="K668" s="82">
        <v>0</v>
      </c>
      <c r="L668" s="82">
        <v>0</v>
      </c>
      <c r="M668" s="82">
        <v>0</v>
      </c>
      <c r="N668" s="82">
        <v>0</v>
      </c>
      <c r="O668" s="82">
        <v>0</v>
      </c>
    </row>
    <row r="669" spans="1:26" ht="15.75" x14ac:dyDescent="0.2">
      <c r="A669" s="138"/>
      <c r="B669" s="179"/>
      <c r="C669" s="96" t="s">
        <v>12</v>
      </c>
      <c r="D669" s="69">
        <f t="shared" si="287"/>
        <v>281437.06200000003</v>
      </c>
      <c r="E669" s="82">
        <v>19291.8</v>
      </c>
      <c r="F669" s="82">
        <v>23807.200000000001</v>
      </c>
      <c r="G669" s="82">
        <v>28234.6</v>
      </c>
      <c r="H669" s="82">
        <v>22369.4</v>
      </c>
      <c r="I669" s="82">
        <v>22792.7</v>
      </c>
      <c r="J669" s="82">
        <f>18632.6-10699.7+10699.7+882.9+4000+4000-1000-597.2</f>
        <v>25918.3</v>
      </c>
      <c r="K669" s="82">
        <f>11060+1000+77+720.212+320+757+1740.4+2283.7+17440.1-2283.7-17440.1+5201.8-555.089+0.089+15000+9149.5+77-1950-71.45-90-74+71.4</f>
        <v>42433.862000000001</v>
      </c>
      <c r="L669" s="82">
        <f>12252.7+7988.6-400+40.6+400+1380.6+2120.3+11056+181.4+56.6+7239+266.5+51.2-1300-90.5-6000+540.6</f>
        <v>35783.599999999999</v>
      </c>
      <c r="M669" s="104">
        <f>9475.8-9269.9+9269.9-1299.3-471.3+854+155.6+3000+315.3+1290.5+129.3-43.6+277.9+841.1+158.2-841.1+841.1+13711+875.5+10612.2</f>
        <v>39882.199999999997</v>
      </c>
      <c r="N669" s="82">
        <f>9522.1+1017.4</f>
        <v>10539.5</v>
      </c>
      <c r="O669" s="82">
        <f>28657.9-18274</f>
        <v>10383.900000000001</v>
      </c>
      <c r="X669" s="60"/>
      <c r="Y669" s="60"/>
      <c r="Z669" s="60"/>
    </row>
    <row r="670" spans="1:26" ht="31.5" customHeight="1" x14ac:dyDescent="0.2">
      <c r="A670" s="138"/>
      <c r="B670" s="179"/>
      <c r="C670" s="72" t="s">
        <v>79</v>
      </c>
      <c r="D670" s="71">
        <f t="shared" si="287"/>
        <v>1874.1</v>
      </c>
      <c r="E670" s="87">
        <v>1874.1</v>
      </c>
      <c r="F670" s="87">
        <v>0</v>
      </c>
      <c r="G670" s="87">
        <v>0</v>
      </c>
      <c r="H670" s="87">
        <v>0</v>
      </c>
      <c r="I670" s="87">
        <v>0</v>
      </c>
      <c r="J670" s="87">
        <v>0</v>
      </c>
      <c r="K670" s="87">
        <v>0</v>
      </c>
      <c r="L670" s="87">
        <v>0</v>
      </c>
      <c r="M670" s="87">
        <v>0</v>
      </c>
      <c r="N670" s="87">
        <v>0</v>
      </c>
      <c r="O670" s="87">
        <v>0</v>
      </c>
    </row>
    <row r="671" spans="1:26" ht="15.75" x14ac:dyDescent="0.2">
      <c r="A671" s="138"/>
      <c r="B671" s="180"/>
      <c r="C671" s="96" t="s">
        <v>13</v>
      </c>
      <c r="D671" s="69">
        <f t="shared" si="287"/>
        <v>0</v>
      </c>
      <c r="E671" s="82">
        <v>0</v>
      </c>
      <c r="F671" s="82">
        <v>0</v>
      </c>
      <c r="G671" s="82">
        <v>0</v>
      </c>
      <c r="H671" s="82">
        <v>0</v>
      </c>
      <c r="I671" s="82">
        <v>0</v>
      </c>
      <c r="J671" s="82">
        <v>0</v>
      </c>
      <c r="K671" s="82">
        <v>0</v>
      </c>
      <c r="L671" s="82">
        <v>0</v>
      </c>
      <c r="M671" s="82">
        <v>0</v>
      </c>
      <c r="N671" s="82">
        <v>0</v>
      </c>
      <c r="O671" s="82">
        <v>0</v>
      </c>
    </row>
    <row r="672" spans="1:26" ht="21" customHeight="1" x14ac:dyDescent="0.2">
      <c r="A672" s="138" t="s">
        <v>267</v>
      </c>
      <c r="B672" s="147" t="s">
        <v>250</v>
      </c>
      <c r="C672" s="96" t="s">
        <v>7</v>
      </c>
      <c r="D672" s="69">
        <f t="shared" si="287"/>
        <v>144488.4</v>
      </c>
      <c r="E672" s="82">
        <f t="shared" ref="E672:O672" si="297">E673+E674+E675+E677</f>
        <v>28675.9</v>
      </c>
      <c r="F672" s="82">
        <f t="shared" si="297"/>
        <v>35910.699999999997</v>
      </c>
      <c r="G672" s="82">
        <f t="shared" si="297"/>
        <v>6899.6</v>
      </c>
      <c r="H672" s="82">
        <f t="shared" si="297"/>
        <v>8413.2000000000007</v>
      </c>
      <c r="I672" s="82">
        <f t="shared" si="297"/>
        <v>18601.100000000002</v>
      </c>
      <c r="J672" s="82">
        <f t="shared" si="297"/>
        <v>9981.3000000000011</v>
      </c>
      <c r="K672" s="82">
        <f t="shared" si="297"/>
        <v>18751</v>
      </c>
      <c r="L672" s="82">
        <f t="shared" si="297"/>
        <v>17255.599999999999</v>
      </c>
      <c r="M672" s="82">
        <f t="shared" si="297"/>
        <v>0</v>
      </c>
      <c r="N672" s="82">
        <f t="shared" si="297"/>
        <v>0</v>
      </c>
      <c r="O672" s="82">
        <f t="shared" si="297"/>
        <v>0</v>
      </c>
    </row>
    <row r="673" spans="1:19" ht="21" customHeight="1" x14ac:dyDescent="0.2">
      <c r="A673" s="138"/>
      <c r="B673" s="148"/>
      <c r="C673" s="96" t="s">
        <v>10</v>
      </c>
      <c r="D673" s="69">
        <f t="shared" si="287"/>
        <v>0</v>
      </c>
      <c r="E673" s="82">
        <v>0</v>
      </c>
      <c r="F673" s="82">
        <v>0</v>
      </c>
      <c r="G673" s="82">
        <v>0</v>
      </c>
      <c r="H673" s="82">
        <v>0</v>
      </c>
      <c r="I673" s="82">
        <v>0</v>
      </c>
      <c r="J673" s="82">
        <v>0</v>
      </c>
      <c r="K673" s="82">
        <v>0</v>
      </c>
      <c r="L673" s="82">
        <v>0</v>
      </c>
      <c r="M673" s="82">
        <v>0</v>
      </c>
      <c r="N673" s="82">
        <v>0</v>
      </c>
      <c r="O673" s="82">
        <v>0</v>
      </c>
    </row>
    <row r="674" spans="1:19" ht="21" customHeight="1" x14ac:dyDescent="0.2">
      <c r="A674" s="138"/>
      <c r="B674" s="148"/>
      <c r="C674" s="96" t="s">
        <v>11</v>
      </c>
      <c r="D674" s="69">
        <f t="shared" si="287"/>
        <v>0</v>
      </c>
      <c r="E674" s="82">
        <v>0</v>
      </c>
      <c r="F674" s="82">
        <v>0</v>
      </c>
      <c r="G674" s="82">
        <v>0</v>
      </c>
      <c r="H674" s="82">
        <v>0</v>
      </c>
      <c r="I674" s="82">
        <v>0</v>
      </c>
      <c r="J674" s="82">
        <v>0</v>
      </c>
      <c r="K674" s="82">
        <v>0</v>
      </c>
      <c r="L674" s="82">
        <v>0</v>
      </c>
      <c r="M674" s="82">
        <v>0</v>
      </c>
      <c r="N674" s="82">
        <v>0</v>
      </c>
      <c r="O674" s="82">
        <v>0</v>
      </c>
    </row>
    <row r="675" spans="1:19" ht="33" customHeight="1" x14ac:dyDescent="0.2">
      <c r="A675" s="138"/>
      <c r="B675" s="148"/>
      <c r="C675" s="96" t="s">
        <v>65</v>
      </c>
      <c r="D675" s="69">
        <f t="shared" si="287"/>
        <v>144488.4</v>
      </c>
      <c r="E675" s="82">
        <f>E676</f>
        <v>28675.9</v>
      </c>
      <c r="F675" s="82">
        <v>35910.699999999997</v>
      </c>
      <c r="G675" s="82">
        <v>6899.6</v>
      </c>
      <c r="H675" s="82">
        <v>8413.2000000000007</v>
      </c>
      <c r="I675" s="82">
        <f>20814-605.6-1607.3</f>
        <v>18601.100000000002</v>
      </c>
      <c r="J675" s="82">
        <f>15000+5950-3250+1905.9-9574.5+50-100.2+0.1</f>
        <v>9981.3000000000011</v>
      </c>
      <c r="K675" s="82">
        <f>20300-1400-149+18659.2-6396.3-12262.8-0.1</f>
        <v>18751</v>
      </c>
      <c r="L675" s="82">
        <f>21000-700*4-700+700-248.4-200-160-270-66</f>
        <v>17255.599999999999</v>
      </c>
      <c r="M675" s="82">
        <v>0</v>
      </c>
      <c r="N675" s="82">
        <f>12655.9-12655.9</f>
        <v>0</v>
      </c>
      <c r="O675" s="82">
        <f>15000-15000</f>
        <v>0</v>
      </c>
    </row>
    <row r="676" spans="1:19" ht="30.75" customHeight="1" x14ac:dyDescent="0.2">
      <c r="A676" s="138"/>
      <c r="B676" s="148"/>
      <c r="C676" s="74" t="s">
        <v>79</v>
      </c>
      <c r="D676" s="71">
        <f t="shared" si="287"/>
        <v>57175.9</v>
      </c>
      <c r="E676" s="87">
        <v>28675.9</v>
      </c>
      <c r="F676" s="87">
        <v>28500</v>
      </c>
      <c r="G676" s="87">
        <v>0</v>
      </c>
      <c r="H676" s="87">
        <v>0</v>
      </c>
      <c r="I676" s="87">
        <v>0</v>
      </c>
      <c r="J676" s="87">
        <v>0</v>
      </c>
      <c r="K676" s="87">
        <v>0</v>
      </c>
      <c r="L676" s="87">
        <v>0</v>
      </c>
      <c r="M676" s="87">
        <v>0</v>
      </c>
      <c r="N676" s="87">
        <v>0</v>
      </c>
      <c r="O676" s="87">
        <v>0</v>
      </c>
    </row>
    <row r="677" spans="1:19" ht="21" customHeight="1" x14ac:dyDescent="0.2">
      <c r="A677" s="138"/>
      <c r="B677" s="148"/>
      <c r="C677" s="96" t="s">
        <v>13</v>
      </c>
      <c r="D677" s="69">
        <f t="shared" si="287"/>
        <v>0</v>
      </c>
      <c r="E677" s="82">
        <v>0</v>
      </c>
      <c r="F677" s="82">
        <v>0</v>
      </c>
      <c r="G677" s="82">
        <v>0</v>
      </c>
      <c r="H677" s="82">
        <v>0</v>
      </c>
      <c r="I677" s="82">
        <v>0</v>
      </c>
      <c r="J677" s="82">
        <v>0</v>
      </c>
      <c r="K677" s="82">
        <v>0</v>
      </c>
      <c r="L677" s="82">
        <v>0</v>
      </c>
      <c r="M677" s="82">
        <v>0</v>
      </c>
      <c r="N677" s="82">
        <v>0</v>
      </c>
      <c r="O677" s="82">
        <v>0</v>
      </c>
    </row>
    <row r="678" spans="1:19" ht="15.75" x14ac:dyDescent="0.2">
      <c r="A678" s="138" t="s">
        <v>268</v>
      </c>
      <c r="B678" s="138" t="s">
        <v>242</v>
      </c>
      <c r="C678" s="83" t="s">
        <v>7</v>
      </c>
      <c r="D678" s="69">
        <f t="shared" si="287"/>
        <v>951</v>
      </c>
      <c r="E678" s="82">
        <f>E679+E680+E681+E682</f>
        <v>0</v>
      </c>
      <c r="F678" s="82">
        <f t="shared" ref="F678:K678" si="298">F679+F680+F681+F682</f>
        <v>0</v>
      </c>
      <c r="G678" s="82">
        <f t="shared" si="298"/>
        <v>347.6</v>
      </c>
      <c r="H678" s="82">
        <f t="shared" si="298"/>
        <v>589.4</v>
      </c>
      <c r="I678" s="82">
        <f t="shared" si="298"/>
        <v>14</v>
      </c>
      <c r="J678" s="82">
        <f t="shared" si="298"/>
        <v>0</v>
      </c>
      <c r="K678" s="82">
        <f t="shared" si="298"/>
        <v>0</v>
      </c>
      <c r="L678" s="82">
        <f>L679+L680+L681+L682</f>
        <v>0</v>
      </c>
      <c r="M678" s="82">
        <f>M679+M680+M681+M682</f>
        <v>0</v>
      </c>
      <c r="N678" s="82">
        <f>N679+N680+N681+N682</f>
        <v>0</v>
      </c>
      <c r="O678" s="82">
        <f>O679+O680+O681+O682</f>
        <v>0</v>
      </c>
    </row>
    <row r="679" spans="1:19" ht="15.75" x14ac:dyDescent="0.2">
      <c r="A679" s="138"/>
      <c r="B679" s="138"/>
      <c r="C679" s="96" t="s">
        <v>10</v>
      </c>
      <c r="D679" s="69">
        <f t="shared" si="287"/>
        <v>0</v>
      </c>
      <c r="E679" s="82">
        <v>0</v>
      </c>
      <c r="F679" s="82">
        <v>0</v>
      </c>
      <c r="G679" s="82">
        <v>0</v>
      </c>
      <c r="H679" s="82">
        <v>0</v>
      </c>
      <c r="I679" s="82">
        <v>0</v>
      </c>
      <c r="J679" s="82">
        <v>0</v>
      </c>
      <c r="K679" s="82">
        <v>0</v>
      </c>
      <c r="L679" s="82">
        <v>0</v>
      </c>
      <c r="M679" s="82">
        <v>0</v>
      </c>
      <c r="N679" s="82">
        <v>0</v>
      </c>
      <c r="O679" s="82">
        <v>0</v>
      </c>
    </row>
    <row r="680" spans="1:19" ht="15.75" x14ac:dyDescent="0.2">
      <c r="A680" s="138"/>
      <c r="B680" s="138"/>
      <c r="C680" s="96" t="s">
        <v>11</v>
      </c>
      <c r="D680" s="69">
        <f t="shared" si="287"/>
        <v>0</v>
      </c>
      <c r="E680" s="82">
        <v>0</v>
      </c>
      <c r="F680" s="82">
        <v>0</v>
      </c>
      <c r="G680" s="82">
        <v>0</v>
      </c>
      <c r="H680" s="82">
        <v>0</v>
      </c>
      <c r="I680" s="82">
        <v>0</v>
      </c>
      <c r="J680" s="82">
        <v>0</v>
      </c>
      <c r="K680" s="82">
        <v>0</v>
      </c>
      <c r="L680" s="82">
        <v>0</v>
      </c>
      <c r="M680" s="82">
        <v>0</v>
      </c>
      <c r="N680" s="82">
        <v>0</v>
      </c>
      <c r="O680" s="82">
        <v>0</v>
      </c>
    </row>
    <row r="681" spans="1:19" ht="15.75" x14ac:dyDescent="0.2">
      <c r="A681" s="138"/>
      <c r="B681" s="138"/>
      <c r="C681" s="96" t="s">
        <v>12</v>
      </c>
      <c r="D681" s="69">
        <f t="shared" si="287"/>
        <v>951</v>
      </c>
      <c r="E681" s="82">
        <v>0</v>
      </c>
      <c r="F681" s="82">
        <v>0</v>
      </c>
      <c r="G681" s="82">
        <v>347.6</v>
      </c>
      <c r="H681" s="82">
        <v>589.4</v>
      </c>
      <c r="I681" s="82">
        <v>14</v>
      </c>
      <c r="J681" s="82">
        <v>0</v>
      </c>
      <c r="K681" s="82">
        <v>0</v>
      </c>
      <c r="L681" s="82">
        <v>0</v>
      </c>
      <c r="M681" s="82">
        <v>0</v>
      </c>
      <c r="N681" s="82">
        <v>0</v>
      </c>
      <c r="O681" s="82">
        <v>0</v>
      </c>
    </row>
    <row r="682" spans="1:19" ht="18" customHeight="1" x14ac:dyDescent="0.2">
      <c r="A682" s="138"/>
      <c r="B682" s="138"/>
      <c r="C682" s="96" t="s">
        <v>13</v>
      </c>
      <c r="D682" s="69">
        <f t="shared" si="287"/>
        <v>0</v>
      </c>
      <c r="E682" s="82">
        <v>0</v>
      </c>
      <c r="F682" s="82">
        <v>0</v>
      </c>
      <c r="G682" s="82">
        <v>0</v>
      </c>
      <c r="H682" s="82">
        <v>0</v>
      </c>
      <c r="I682" s="82">
        <v>0</v>
      </c>
      <c r="J682" s="82">
        <v>0</v>
      </c>
      <c r="K682" s="82">
        <v>0</v>
      </c>
      <c r="L682" s="82">
        <v>0</v>
      </c>
      <c r="M682" s="82">
        <v>0</v>
      </c>
      <c r="N682" s="82">
        <v>0</v>
      </c>
      <c r="O682" s="82">
        <v>0</v>
      </c>
    </row>
    <row r="683" spans="1:19" ht="15.75" x14ac:dyDescent="0.2">
      <c r="A683" s="138" t="s">
        <v>307</v>
      </c>
      <c r="B683" s="138" t="s">
        <v>308</v>
      </c>
      <c r="C683" s="83" t="s">
        <v>7</v>
      </c>
      <c r="D683" s="69">
        <f t="shared" ref="D683:D713" si="299">E683+F683+G683+H683+I683+J683+K683+L683+M683+N683+O683</f>
        <v>5870</v>
      </c>
      <c r="E683" s="82">
        <f>E684+E685+E686+E687</f>
        <v>0</v>
      </c>
      <c r="F683" s="82">
        <f t="shared" ref="F683:O683" si="300">F684+F685+F686+F687</f>
        <v>0</v>
      </c>
      <c r="G683" s="82">
        <f t="shared" si="300"/>
        <v>0</v>
      </c>
      <c r="H683" s="82">
        <f t="shared" si="300"/>
        <v>0</v>
      </c>
      <c r="I683" s="82">
        <f>I684+I685+I686+I687</f>
        <v>3397.4</v>
      </c>
      <c r="J683" s="82">
        <f t="shared" si="300"/>
        <v>2472.6</v>
      </c>
      <c r="K683" s="82">
        <f t="shared" si="300"/>
        <v>0</v>
      </c>
      <c r="L683" s="82">
        <f t="shared" si="300"/>
        <v>0</v>
      </c>
      <c r="M683" s="82">
        <f t="shared" si="300"/>
        <v>0</v>
      </c>
      <c r="N683" s="82">
        <f t="shared" si="300"/>
        <v>0</v>
      </c>
      <c r="O683" s="82">
        <f t="shared" si="300"/>
        <v>0</v>
      </c>
      <c r="P683" s="58">
        <v>3397.4</v>
      </c>
      <c r="Q683" s="67">
        <f>I683-P683</f>
        <v>0</v>
      </c>
      <c r="S683" s="78"/>
    </row>
    <row r="684" spans="1:19" ht="15.75" x14ac:dyDescent="0.2">
      <c r="A684" s="138"/>
      <c r="B684" s="138"/>
      <c r="C684" s="96" t="s">
        <v>10</v>
      </c>
      <c r="D684" s="69">
        <f t="shared" si="299"/>
        <v>0</v>
      </c>
      <c r="E684" s="82">
        <v>0</v>
      </c>
      <c r="F684" s="82">
        <v>0</v>
      </c>
      <c r="G684" s="82">
        <v>0</v>
      </c>
      <c r="H684" s="82">
        <v>0</v>
      </c>
      <c r="I684" s="82">
        <v>0</v>
      </c>
      <c r="J684" s="82">
        <v>0</v>
      </c>
      <c r="K684" s="82">
        <v>0</v>
      </c>
      <c r="L684" s="82">
        <v>0</v>
      </c>
      <c r="M684" s="82">
        <v>0</v>
      </c>
      <c r="N684" s="82">
        <v>0</v>
      </c>
      <c r="O684" s="82">
        <v>0</v>
      </c>
    </row>
    <row r="685" spans="1:19" ht="15.75" x14ac:dyDescent="0.2">
      <c r="A685" s="138"/>
      <c r="B685" s="138"/>
      <c r="C685" s="96" t="s">
        <v>11</v>
      </c>
      <c r="D685" s="69">
        <f t="shared" si="299"/>
        <v>0</v>
      </c>
      <c r="E685" s="82">
        <v>0</v>
      </c>
      <c r="F685" s="82">
        <v>0</v>
      </c>
      <c r="G685" s="82">
        <v>0</v>
      </c>
      <c r="H685" s="82">
        <v>0</v>
      </c>
      <c r="I685" s="82">
        <v>0</v>
      </c>
      <c r="J685" s="82">
        <v>0</v>
      </c>
      <c r="K685" s="82">
        <v>0</v>
      </c>
      <c r="L685" s="82">
        <v>0</v>
      </c>
      <c r="M685" s="82">
        <v>0</v>
      </c>
      <c r="N685" s="82">
        <v>0</v>
      </c>
      <c r="O685" s="82">
        <v>0</v>
      </c>
    </row>
    <row r="686" spans="1:19" ht="15.75" x14ac:dyDescent="0.2">
      <c r="A686" s="138"/>
      <c r="B686" s="138"/>
      <c r="C686" s="96" t="s">
        <v>12</v>
      </c>
      <c r="D686" s="69">
        <f t="shared" si="299"/>
        <v>5870</v>
      </c>
      <c r="E686" s="82">
        <v>0</v>
      </c>
      <c r="F686" s="82">
        <v>0</v>
      </c>
      <c r="G686" s="82">
        <v>0</v>
      </c>
      <c r="H686" s="82">
        <v>0</v>
      </c>
      <c r="I686" s="82">
        <v>3397.4</v>
      </c>
      <c r="J686" s="82">
        <f>3250-648.3-129.1</f>
        <v>2472.6</v>
      </c>
      <c r="K686" s="82">
        <f>5000-5000</f>
        <v>0</v>
      </c>
      <c r="L686" s="82">
        <v>0</v>
      </c>
      <c r="M686" s="82">
        <v>0</v>
      </c>
      <c r="N686" s="82">
        <v>0</v>
      </c>
      <c r="O686" s="82">
        <v>0</v>
      </c>
    </row>
    <row r="687" spans="1:19" ht="15.75" x14ac:dyDescent="0.2">
      <c r="A687" s="138"/>
      <c r="B687" s="138"/>
      <c r="C687" s="96" t="s">
        <v>13</v>
      </c>
      <c r="D687" s="69">
        <f t="shared" si="299"/>
        <v>0</v>
      </c>
      <c r="E687" s="82">
        <v>0</v>
      </c>
      <c r="F687" s="82">
        <v>0</v>
      </c>
      <c r="G687" s="82">
        <v>0</v>
      </c>
      <c r="H687" s="82">
        <v>0</v>
      </c>
      <c r="I687" s="82">
        <v>0</v>
      </c>
      <c r="J687" s="82">
        <v>0</v>
      </c>
      <c r="K687" s="82">
        <v>0</v>
      </c>
      <c r="L687" s="82">
        <v>0</v>
      </c>
      <c r="M687" s="82">
        <v>0</v>
      </c>
      <c r="N687" s="82">
        <v>0</v>
      </c>
      <c r="O687" s="82">
        <v>0</v>
      </c>
    </row>
    <row r="688" spans="1:19" ht="15.75" x14ac:dyDescent="0.2">
      <c r="A688" s="138" t="s">
        <v>383</v>
      </c>
      <c r="B688" s="138" t="s">
        <v>384</v>
      </c>
      <c r="C688" s="83" t="s">
        <v>7</v>
      </c>
      <c r="D688" s="69">
        <f t="shared" si="299"/>
        <v>1215.9000000000001</v>
      </c>
      <c r="E688" s="82">
        <f>E689+E690+E691+E692</f>
        <v>0</v>
      </c>
      <c r="F688" s="82">
        <f t="shared" ref="F688:O688" si="301">F689+F690+F691+F692</f>
        <v>0</v>
      </c>
      <c r="G688" s="82">
        <f t="shared" si="301"/>
        <v>0</v>
      </c>
      <c r="H688" s="82">
        <f t="shared" si="301"/>
        <v>0</v>
      </c>
      <c r="I688" s="82">
        <f>I689+I690+I691+I692</f>
        <v>0</v>
      </c>
      <c r="J688" s="82">
        <f t="shared" si="301"/>
        <v>0</v>
      </c>
      <c r="K688" s="82">
        <f t="shared" si="301"/>
        <v>1215.9000000000001</v>
      </c>
      <c r="L688" s="82">
        <f t="shared" si="301"/>
        <v>0</v>
      </c>
      <c r="M688" s="82">
        <f t="shared" si="301"/>
        <v>0</v>
      </c>
      <c r="N688" s="82">
        <f t="shared" si="301"/>
        <v>0</v>
      </c>
      <c r="O688" s="82">
        <f t="shared" si="301"/>
        <v>0</v>
      </c>
    </row>
    <row r="689" spans="1:15" ht="15.75" x14ac:dyDescent="0.2">
      <c r="A689" s="138"/>
      <c r="B689" s="138"/>
      <c r="C689" s="96" t="s">
        <v>10</v>
      </c>
      <c r="D689" s="69">
        <f t="shared" si="299"/>
        <v>0</v>
      </c>
      <c r="E689" s="82">
        <v>0</v>
      </c>
      <c r="F689" s="82">
        <v>0</v>
      </c>
      <c r="G689" s="82">
        <v>0</v>
      </c>
      <c r="H689" s="82">
        <v>0</v>
      </c>
      <c r="I689" s="82">
        <v>0</v>
      </c>
      <c r="J689" s="82">
        <v>0</v>
      </c>
      <c r="K689" s="82">
        <v>0</v>
      </c>
      <c r="L689" s="82">
        <v>0</v>
      </c>
      <c r="M689" s="82">
        <v>0</v>
      </c>
      <c r="N689" s="82">
        <v>0</v>
      </c>
      <c r="O689" s="82">
        <v>0</v>
      </c>
    </row>
    <row r="690" spans="1:15" ht="15.75" x14ac:dyDescent="0.2">
      <c r="A690" s="138"/>
      <c r="B690" s="138"/>
      <c r="C690" s="96" t="s">
        <v>11</v>
      </c>
      <c r="D690" s="69">
        <f t="shared" si="299"/>
        <v>0</v>
      </c>
      <c r="E690" s="82">
        <v>0</v>
      </c>
      <c r="F690" s="82">
        <v>0</v>
      </c>
      <c r="G690" s="82">
        <v>0</v>
      </c>
      <c r="H690" s="82">
        <v>0</v>
      </c>
      <c r="I690" s="82">
        <v>0</v>
      </c>
      <c r="J690" s="82">
        <v>0</v>
      </c>
      <c r="K690" s="82">
        <v>0</v>
      </c>
      <c r="L690" s="82">
        <v>0</v>
      </c>
      <c r="M690" s="82">
        <v>0</v>
      </c>
      <c r="N690" s="82">
        <v>0</v>
      </c>
      <c r="O690" s="82">
        <v>0</v>
      </c>
    </row>
    <row r="691" spans="1:15" ht="15.75" x14ac:dyDescent="0.2">
      <c r="A691" s="138"/>
      <c r="B691" s="138"/>
      <c r="C691" s="96" t="s">
        <v>12</v>
      </c>
      <c r="D691" s="69">
        <f t="shared" si="299"/>
        <v>1215.9000000000001</v>
      </c>
      <c r="E691" s="82">
        <v>0</v>
      </c>
      <c r="F691" s="82">
        <v>0</v>
      </c>
      <c r="G691" s="82">
        <v>0</v>
      </c>
      <c r="H691" s="82">
        <v>0</v>
      </c>
      <c r="I691" s="82">
        <v>0</v>
      </c>
      <c r="J691" s="82">
        <v>0</v>
      </c>
      <c r="K691" s="82">
        <v>1215.9000000000001</v>
      </c>
      <c r="L691" s="82">
        <f>1493.4-1493.4</f>
        <v>0</v>
      </c>
      <c r="M691" s="82">
        <v>0</v>
      </c>
      <c r="N691" s="82">
        <v>0</v>
      </c>
      <c r="O691" s="82">
        <v>0</v>
      </c>
    </row>
    <row r="692" spans="1:15" ht="15.75" x14ac:dyDescent="0.2">
      <c r="A692" s="138"/>
      <c r="B692" s="138"/>
      <c r="C692" s="96" t="s">
        <v>13</v>
      </c>
      <c r="D692" s="69">
        <f t="shared" si="299"/>
        <v>0</v>
      </c>
      <c r="E692" s="82">
        <v>0</v>
      </c>
      <c r="F692" s="82">
        <v>0</v>
      </c>
      <c r="G692" s="82">
        <v>0</v>
      </c>
      <c r="H692" s="82">
        <v>0</v>
      </c>
      <c r="I692" s="82">
        <v>0</v>
      </c>
      <c r="J692" s="82">
        <v>0</v>
      </c>
      <c r="K692" s="82">
        <v>0</v>
      </c>
      <c r="L692" s="82">
        <v>0</v>
      </c>
      <c r="M692" s="82">
        <v>0</v>
      </c>
      <c r="N692" s="82">
        <v>0</v>
      </c>
      <c r="O692" s="82">
        <v>0</v>
      </c>
    </row>
    <row r="693" spans="1:15" ht="15.75" x14ac:dyDescent="0.2">
      <c r="A693" s="138" t="s">
        <v>386</v>
      </c>
      <c r="B693" s="138" t="s">
        <v>404</v>
      </c>
      <c r="C693" s="83" t="s">
        <v>7</v>
      </c>
      <c r="D693" s="69">
        <f t="shared" si="299"/>
        <v>604932.29999999993</v>
      </c>
      <c r="E693" s="82">
        <f t="shared" ref="E693:O693" si="302">E694+E695+E696+E697</f>
        <v>0</v>
      </c>
      <c r="F693" s="82">
        <f t="shared" si="302"/>
        <v>0</v>
      </c>
      <c r="G693" s="82">
        <f t="shared" si="302"/>
        <v>0</v>
      </c>
      <c r="H693" s="82">
        <f t="shared" si="302"/>
        <v>0</v>
      </c>
      <c r="I693" s="82">
        <f t="shared" si="302"/>
        <v>0</v>
      </c>
      <c r="J693" s="82">
        <f t="shared" si="302"/>
        <v>0</v>
      </c>
      <c r="K693" s="82">
        <f t="shared" si="302"/>
        <v>52637.4</v>
      </c>
      <c r="L693" s="82">
        <f t="shared" si="302"/>
        <v>131936.5</v>
      </c>
      <c r="M693" s="82">
        <f t="shared" si="302"/>
        <v>154882.70000000001</v>
      </c>
      <c r="N693" s="82">
        <f t="shared" si="302"/>
        <v>132688.29999999999</v>
      </c>
      <c r="O693" s="82">
        <f t="shared" si="302"/>
        <v>132787.4</v>
      </c>
    </row>
    <row r="694" spans="1:15" ht="15.75" x14ac:dyDescent="0.2">
      <c r="A694" s="138"/>
      <c r="B694" s="138"/>
      <c r="C694" s="96" t="s">
        <v>10</v>
      </c>
      <c r="D694" s="69">
        <f t="shared" si="299"/>
        <v>0</v>
      </c>
      <c r="E694" s="82">
        <v>0</v>
      </c>
      <c r="F694" s="82">
        <v>0</v>
      </c>
      <c r="G694" s="82">
        <v>0</v>
      </c>
      <c r="H694" s="82">
        <v>0</v>
      </c>
      <c r="I694" s="82">
        <v>0</v>
      </c>
      <c r="J694" s="82">
        <v>0</v>
      </c>
      <c r="K694" s="82">
        <v>0</v>
      </c>
      <c r="L694" s="82">
        <v>0</v>
      </c>
      <c r="M694" s="82">
        <v>0</v>
      </c>
      <c r="N694" s="82">
        <v>0</v>
      </c>
      <c r="O694" s="82">
        <v>0</v>
      </c>
    </row>
    <row r="695" spans="1:15" ht="15.75" x14ac:dyDescent="0.2">
      <c r="A695" s="138"/>
      <c r="B695" s="138"/>
      <c r="C695" s="96" t="s">
        <v>11</v>
      </c>
      <c r="D695" s="69">
        <f t="shared" si="299"/>
        <v>0</v>
      </c>
      <c r="E695" s="82">
        <v>0</v>
      </c>
      <c r="F695" s="82">
        <v>0</v>
      </c>
      <c r="G695" s="82">
        <v>0</v>
      </c>
      <c r="H695" s="82">
        <v>0</v>
      </c>
      <c r="I695" s="82">
        <v>0</v>
      </c>
      <c r="J695" s="82">
        <v>0</v>
      </c>
      <c r="K695" s="82">
        <v>0</v>
      </c>
      <c r="L695" s="82">
        <v>0</v>
      </c>
      <c r="M695" s="82">
        <v>0</v>
      </c>
      <c r="N695" s="82">
        <v>0</v>
      </c>
      <c r="O695" s="82">
        <v>0</v>
      </c>
    </row>
    <row r="696" spans="1:15" ht="31.5" x14ac:dyDescent="0.2">
      <c r="A696" s="138"/>
      <c r="B696" s="138"/>
      <c r="C696" s="96" t="s">
        <v>65</v>
      </c>
      <c r="D696" s="69">
        <f t="shared" si="299"/>
        <v>604932.29999999993</v>
      </c>
      <c r="E696" s="82">
        <v>0</v>
      </c>
      <c r="F696" s="82">
        <v>0</v>
      </c>
      <c r="G696" s="82">
        <v>0</v>
      </c>
      <c r="H696" s="82">
        <v>0</v>
      </c>
      <c r="I696" s="82">
        <v>0</v>
      </c>
      <c r="J696" s="82">
        <v>0</v>
      </c>
      <c r="K696" s="82">
        <f>30000+22637.4+2056-2056</f>
        <v>52637.4</v>
      </c>
      <c r="L696" s="82">
        <f>126936.5-12775.3+12775.3+5000</f>
        <v>131936.5</v>
      </c>
      <c r="M696" s="82">
        <f>179515.2-77898.6+9922+3500+39844.1</f>
        <v>154882.70000000001</v>
      </c>
      <c r="N696" s="82">
        <f>198915.9-66227.6</f>
        <v>132688.29999999999</v>
      </c>
      <c r="O696" s="82">
        <f>0+132787.4</f>
        <v>132787.4</v>
      </c>
    </row>
    <row r="697" spans="1:15" ht="15.75" x14ac:dyDescent="0.2">
      <c r="A697" s="138"/>
      <c r="B697" s="138"/>
      <c r="C697" s="96" t="s">
        <v>13</v>
      </c>
      <c r="D697" s="69">
        <f t="shared" si="299"/>
        <v>0</v>
      </c>
      <c r="E697" s="82">
        <v>0</v>
      </c>
      <c r="F697" s="82">
        <v>0</v>
      </c>
      <c r="G697" s="82">
        <v>0</v>
      </c>
      <c r="H697" s="82">
        <v>0</v>
      </c>
      <c r="I697" s="82">
        <v>0</v>
      </c>
      <c r="J697" s="82">
        <v>0</v>
      </c>
      <c r="K697" s="82">
        <v>0</v>
      </c>
      <c r="L697" s="82">
        <v>0</v>
      </c>
      <c r="M697" s="82">
        <v>0</v>
      </c>
      <c r="N697" s="82">
        <v>0</v>
      </c>
      <c r="O697" s="82">
        <v>0</v>
      </c>
    </row>
    <row r="698" spans="1:15" ht="15.75" x14ac:dyDescent="0.2">
      <c r="A698" s="138" t="s">
        <v>389</v>
      </c>
      <c r="B698" s="138" t="s">
        <v>396</v>
      </c>
      <c r="C698" s="83" t="s">
        <v>7</v>
      </c>
      <c r="D698" s="69">
        <f t="shared" ref="D698" si="303">E698+F698+G698+H698+I698+J698+K698+L698+M698+N698+O698</f>
        <v>20707.8</v>
      </c>
      <c r="E698" s="82">
        <f>E699+E700+E701+E702</f>
        <v>0</v>
      </c>
      <c r="F698" s="82">
        <f t="shared" ref="F698:O698" si="304">F699+F700+F701+F702</f>
        <v>0</v>
      </c>
      <c r="G698" s="82">
        <f t="shared" si="304"/>
        <v>0</v>
      </c>
      <c r="H698" s="82">
        <f t="shared" si="304"/>
        <v>0</v>
      </c>
      <c r="I698" s="82">
        <f>I699+I700+I701+I702</f>
        <v>0</v>
      </c>
      <c r="J698" s="82">
        <f t="shared" si="304"/>
        <v>0</v>
      </c>
      <c r="K698" s="82">
        <f t="shared" si="304"/>
        <v>12262.8</v>
      </c>
      <c r="L698" s="82">
        <f t="shared" si="304"/>
        <v>8445</v>
      </c>
      <c r="M698" s="82">
        <f t="shared" si="304"/>
        <v>0</v>
      </c>
      <c r="N698" s="82">
        <f t="shared" si="304"/>
        <v>0</v>
      </c>
      <c r="O698" s="82">
        <f t="shared" si="304"/>
        <v>0</v>
      </c>
    </row>
    <row r="699" spans="1:15" ht="15.75" x14ac:dyDescent="0.2">
      <c r="A699" s="138"/>
      <c r="B699" s="138"/>
      <c r="C699" s="96" t="s">
        <v>10</v>
      </c>
      <c r="D699" s="69">
        <f t="shared" si="299"/>
        <v>0</v>
      </c>
      <c r="E699" s="82">
        <v>0</v>
      </c>
      <c r="F699" s="82">
        <v>0</v>
      </c>
      <c r="G699" s="82">
        <v>0</v>
      </c>
      <c r="H699" s="82">
        <v>0</v>
      </c>
      <c r="I699" s="82">
        <v>0</v>
      </c>
      <c r="J699" s="82">
        <v>0</v>
      </c>
      <c r="K699" s="82">
        <v>0</v>
      </c>
      <c r="L699" s="82">
        <v>0</v>
      </c>
      <c r="M699" s="82">
        <v>0</v>
      </c>
      <c r="N699" s="82">
        <v>0</v>
      </c>
      <c r="O699" s="82">
        <v>0</v>
      </c>
    </row>
    <row r="700" spans="1:15" ht="15.75" x14ac:dyDescent="0.2">
      <c r="A700" s="138"/>
      <c r="B700" s="138"/>
      <c r="C700" s="96" t="s">
        <v>11</v>
      </c>
      <c r="D700" s="69">
        <f>E700+F700+G700+H700+I700+J700+K700+L700+M700+N700+O700</f>
        <v>0</v>
      </c>
      <c r="E700" s="82">
        <v>0</v>
      </c>
      <c r="F700" s="82">
        <v>0</v>
      </c>
      <c r="G700" s="82">
        <v>0</v>
      </c>
      <c r="H700" s="82">
        <v>0</v>
      </c>
      <c r="I700" s="82">
        <v>0</v>
      </c>
      <c r="J700" s="82">
        <v>0</v>
      </c>
      <c r="K700" s="82">
        <v>0</v>
      </c>
      <c r="L700" s="82">
        <v>0</v>
      </c>
      <c r="M700" s="82">
        <v>0</v>
      </c>
      <c r="N700" s="82">
        <v>0</v>
      </c>
      <c r="O700" s="82">
        <v>0</v>
      </c>
    </row>
    <row r="701" spans="1:15" ht="15.75" x14ac:dyDescent="0.2">
      <c r="A701" s="138"/>
      <c r="B701" s="138"/>
      <c r="C701" s="96" t="s">
        <v>12</v>
      </c>
      <c r="D701" s="69">
        <f t="shared" si="299"/>
        <v>20707.8</v>
      </c>
      <c r="E701" s="82">
        <v>0</v>
      </c>
      <c r="F701" s="82">
        <v>0</v>
      </c>
      <c r="G701" s="82">
        <v>0</v>
      </c>
      <c r="H701" s="82">
        <v>0</v>
      </c>
      <c r="I701" s="82">
        <v>0</v>
      </c>
      <c r="J701" s="82">
        <v>0</v>
      </c>
      <c r="K701" s="82">
        <v>12262.8</v>
      </c>
      <c r="L701" s="82">
        <f>3955.5-0.1-1380.6+5870.2</f>
        <v>8445</v>
      </c>
      <c r="M701" s="82">
        <v>0</v>
      </c>
      <c r="N701" s="82">
        <v>0</v>
      </c>
      <c r="O701" s="82">
        <v>0</v>
      </c>
    </row>
    <row r="702" spans="1:15" ht="15.75" x14ac:dyDescent="0.2">
      <c r="A702" s="138"/>
      <c r="B702" s="138"/>
      <c r="C702" s="96" t="s">
        <v>13</v>
      </c>
      <c r="D702" s="69">
        <f t="shared" si="299"/>
        <v>0</v>
      </c>
      <c r="E702" s="82">
        <v>0</v>
      </c>
      <c r="F702" s="82">
        <v>0</v>
      </c>
      <c r="G702" s="82">
        <v>0</v>
      </c>
      <c r="H702" s="82">
        <v>0</v>
      </c>
      <c r="I702" s="82">
        <v>0</v>
      </c>
      <c r="J702" s="82">
        <v>0</v>
      </c>
      <c r="K702" s="82">
        <v>0</v>
      </c>
      <c r="L702" s="82">
        <v>0</v>
      </c>
      <c r="M702" s="82">
        <v>0</v>
      </c>
      <c r="N702" s="82">
        <v>0</v>
      </c>
      <c r="O702" s="82">
        <v>0</v>
      </c>
    </row>
    <row r="703" spans="1:15" ht="15.75" customHeight="1" x14ac:dyDescent="0.2">
      <c r="A703" s="138" t="s">
        <v>390</v>
      </c>
      <c r="B703" s="138" t="s">
        <v>441</v>
      </c>
      <c r="C703" s="83" t="s">
        <v>7</v>
      </c>
      <c r="D703" s="69">
        <f t="shared" si="299"/>
        <v>11510.400000000001</v>
      </c>
      <c r="E703" s="82">
        <f>E704+E705+E706+E707</f>
        <v>0</v>
      </c>
      <c r="F703" s="82">
        <f t="shared" ref="F703:O703" si="305">F704+F705+F706+F707</f>
        <v>0</v>
      </c>
      <c r="G703" s="82">
        <f t="shared" si="305"/>
        <v>0</v>
      </c>
      <c r="H703" s="82">
        <f t="shared" si="305"/>
        <v>0</v>
      </c>
      <c r="I703" s="82">
        <f>I704+I705+I706+I707</f>
        <v>0</v>
      </c>
      <c r="J703" s="82">
        <f t="shared" si="305"/>
        <v>0</v>
      </c>
      <c r="K703" s="82">
        <f t="shared" si="305"/>
        <v>2738.4</v>
      </c>
      <c r="L703" s="82">
        <f t="shared" si="305"/>
        <v>2635.3</v>
      </c>
      <c r="M703" s="82">
        <f t="shared" si="305"/>
        <v>4415.1000000000004</v>
      </c>
      <c r="N703" s="82">
        <f t="shared" si="305"/>
        <v>867.2</v>
      </c>
      <c r="O703" s="82">
        <f t="shared" si="305"/>
        <v>854.4</v>
      </c>
    </row>
    <row r="704" spans="1:15" ht="15.75" x14ac:dyDescent="0.2">
      <c r="A704" s="138"/>
      <c r="B704" s="138"/>
      <c r="C704" s="96" t="s">
        <v>10</v>
      </c>
      <c r="D704" s="69">
        <f t="shared" si="299"/>
        <v>0</v>
      </c>
      <c r="E704" s="82">
        <v>0</v>
      </c>
      <c r="F704" s="82">
        <v>0</v>
      </c>
      <c r="G704" s="82">
        <v>0</v>
      </c>
      <c r="H704" s="82">
        <v>0</v>
      </c>
      <c r="I704" s="82">
        <v>0</v>
      </c>
      <c r="J704" s="82">
        <v>0</v>
      </c>
      <c r="K704" s="82">
        <v>0</v>
      </c>
      <c r="L704" s="82">
        <v>0</v>
      </c>
      <c r="M704" s="82">
        <v>0</v>
      </c>
      <c r="N704" s="82">
        <v>0</v>
      </c>
      <c r="O704" s="82">
        <v>0</v>
      </c>
    </row>
    <row r="705" spans="1:15" ht="15.75" x14ac:dyDescent="0.2">
      <c r="A705" s="138"/>
      <c r="B705" s="138"/>
      <c r="C705" s="96" t="s">
        <v>11</v>
      </c>
      <c r="D705" s="69">
        <f>E705+F705+G705+H705+I705+J705+K705+L705+M705+N705+O705</f>
        <v>0</v>
      </c>
      <c r="E705" s="82">
        <v>0</v>
      </c>
      <c r="F705" s="82">
        <v>0</v>
      </c>
      <c r="G705" s="82">
        <v>0</v>
      </c>
      <c r="H705" s="82">
        <v>0</v>
      </c>
      <c r="I705" s="82">
        <v>0</v>
      </c>
      <c r="J705" s="82">
        <v>0</v>
      </c>
      <c r="K705" s="82">
        <v>0</v>
      </c>
      <c r="L705" s="82">
        <v>0</v>
      </c>
      <c r="M705" s="82">
        <v>0</v>
      </c>
      <c r="N705" s="82">
        <v>0</v>
      </c>
      <c r="O705" s="82">
        <v>0</v>
      </c>
    </row>
    <row r="706" spans="1:15" ht="15.75" x14ac:dyDescent="0.2">
      <c r="A706" s="138"/>
      <c r="B706" s="138"/>
      <c r="C706" s="96" t="s">
        <v>12</v>
      </c>
      <c r="D706" s="69">
        <f t="shared" si="299"/>
        <v>11510.400000000001</v>
      </c>
      <c r="E706" s="82">
        <v>0</v>
      </c>
      <c r="F706" s="82">
        <v>0</v>
      </c>
      <c r="G706" s="82">
        <v>0</v>
      </c>
      <c r="H706" s="82">
        <v>0</v>
      </c>
      <c r="I706" s="82">
        <v>0</v>
      </c>
      <c r="J706" s="82">
        <v>0</v>
      </c>
      <c r="K706" s="82">
        <f>5000-2261.6-2056+2056</f>
        <v>2738.4</v>
      </c>
      <c r="L706" s="82">
        <f>735.3+600+1300</f>
        <v>2635.3</v>
      </c>
      <c r="M706" s="82">
        <f>779.7+352.4+3283</f>
        <v>4415.1000000000004</v>
      </c>
      <c r="N706" s="82">
        <f>783.5+83.7</f>
        <v>867.2</v>
      </c>
      <c r="O706" s="82">
        <f>0+854.4</f>
        <v>854.4</v>
      </c>
    </row>
    <row r="707" spans="1:15" ht="15.75" x14ac:dyDescent="0.2">
      <c r="A707" s="138"/>
      <c r="B707" s="138"/>
      <c r="C707" s="96" t="s">
        <v>13</v>
      </c>
      <c r="D707" s="69">
        <f t="shared" si="299"/>
        <v>0</v>
      </c>
      <c r="E707" s="82">
        <v>0</v>
      </c>
      <c r="F707" s="82">
        <v>0</v>
      </c>
      <c r="G707" s="82">
        <v>0</v>
      </c>
      <c r="H707" s="82">
        <v>0</v>
      </c>
      <c r="I707" s="82">
        <v>0</v>
      </c>
      <c r="J707" s="82">
        <v>0</v>
      </c>
      <c r="K707" s="82">
        <v>0</v>
      </c>
      <c r="L707" s="82">
        <v>0</v>
      </c>
      <c r="M707" s="82">
        <v>0</v>
      </c>
      <c r="N707" s="82">
        <v>0</v>
      </c>
      <c r="O707" s="82">
        <v>0</v>
      </c>
    </row>
    <row r="708" spans="1:15" ht="15.75" customHeight="1" x14ac:dyDescent="0.2">
      <c r="A708" s="138" t="s">
        <v>397</v>
      </c>
      <c r="B708" s="138" t="s">
        <v>401</v>
      </c>
      <c r="C708" s="83" t="s">
        <v>7</v>
      </c>
      <c r="D708" s="69">
        <f t="shared" ref="D708" si="306">E708+F708+G708+H708+I708+J708+K708+L708+M708+N708+O708</f>
        <v>7545.1</v>
      </c>
      <c r="E708" s="82">
        <f>E709+E710+E711+E712</f>
        <v>0</v>
      </c>
      <c r="F708" s="82">
        <f t="shared" ref="F708:O708" si="307">F709+F710+F711+F712</f>
        <v>0</v>
      </c>
      <c r="G708" s="82">
        <f t="shared" si="307"/>
        <v>0</v>
      </c>
      <c r="H708" s="82">
        <f t="shared" si="307"/>
        <v>0</v>
      </c>
      <c r="I708" s="82">
        <f>I709+I710+I711+I712</f>
        <v>0</v>
      </c>
      <c r="J708" s="82">
        <f t="shared" si="307"/>
        <v>0</v>
      </c>
      <c r="K708" s="82">
        <f t="shared" si="307"/>
        <v>7545.1</v>
      </c>
      <c r="L708" s="82">
        <f t="shared" si="307"/>
        <v>0</v>
      </c>
      <c r="M708" s="82">
        <f t="shared" si="307"/>
        <v>0</v>
      </c>
      <c r="N708" s="82">
        <f t="shared" si="307"/>
        <v>0</v>
      </c>
      <c r="O708" s="82">
        <f t="shared" si="307"/>
        <v>0</v>
      </c>
    </row>
    <row r="709" spans="1:15" ht="15.75" x14ac:dyDescent="0.2">
      <c r="A709" s="138"/>
      <c r="B709" s="138"/>
      <c r="C709" s="96" t="s">
        <v>10</v>
      </c>
      <c r="D709" s="69">
        <f t="shared" si="299"/>
        <v>0</v>
      </c>
      <c r="E709" s="82">
        <v>0</v>
      </c>
      <c r="F709" s="82">
        <v>0</v>
      </c>
      <c r="G709" s="82">
        <v>0</v>
      </c>
      <c r="H709" s="82">
        <v>0</v>
      </c>
      <c r="I709" s="82">
        <v>0</v>
      </c>
      <c r="J709" s="82">
        <v>0</v>
      </c>
      <c r="K709" s="82">
        <v>0</v>
      </c>
      <c r="L709" s="82">
        <v>0</v>
      </c>
      <c r="M709" s="82">
        <v>0</v>
      </c>
      <c r="N709" s="82">
        <v>0</v>
      </c>
      <c r="O709" s="82">
        <v>0</v>
      </c>
    </row>
    <row r="710" spans="1:15" ht="15.75" x14ac:dyDescent="0.2">
      <c r="A710" s="138"/>
      <c r="B710" s="138"/>
      <c r="C710" s="96" t="s">
        <v>11</v>
      </c>
      <c r="D710" s="69">
        <f>E710+F710+G710+H710+I710+J710+K710+L710+M710+N710+O710</f>
        <v>0</v>
      </c>
      <c r="E710" s="82">
        <v>0</v>
      </c>
      <c r="F710" s="82">
        <v>0</v>
      </c>
      <c r="G710" s="82">
        <v>0</v>
      </c>
      <c r="H710" s="82">
        <v>0</v>
      </c>
      <c r="I710" s="82">
        <v>0</v>
      </c>
      <c r="J710" s="82">
        <v>0</v>
      </c>
      <c r="K710" s="82">
        <v>0</v>
      </c>
      <c r="L710" s="82">
        <v>0</v>
      </c>
      <c r="M710" s="82">
        <v>0</v>
      </c>
      <c r="N710" s="82">
        <v>0</v>
      </c>
      <c r="O710" s="82">
        <v>0</v>
      </c>
    </row>
    <row r="711" spans="1:15" ht="15.75" x14ac:dyDescent="0.2">
      <c r="A711" s="138"/>
      <c r="B711" s="138"/>
      <c r="C711" s="96" t="s">
        <v>12</v>
      </c>
      <c r="D711" s="69">
        <f t="shared" si="299"/>
        <v>7545.1</v>
      </c>
      <c r="E711" s="82">
        <v>0</v>
      </c>
      <c r="F711" s="82">
        <v>0</v>
      </c>
      <c r="G711" s="82">
        <v>0</v>
      </c>
      <c r="H711" s="82">
        <v>0</v>
      </c>
      <c r="I711" s="82">
        <v>0</v>
      </c>
      <c r="J711" s="82">
        <v>0</v>
      </c>
      <c r="K711" s="82">
        <v>7545.1</v>
      </c>
      <c r="L711" s="82">
        <v>0</v>
      </c>
      <c r="M711" s="82">
        <v>0</v>
      </c>
      <c r="N711" s="82">
        <v>0</v>
      </c>
      <c r="O711" s="82">
        <v>0</v>
      </c>
    </row>
    <row r="712" spans="1:15" ht="15.75" x14ac:dyDescent="0.2">
      <c r="A712" s="138"/>
      <c r="B712" s="138"/>
      <c r="C712" s="96" t="s">
        <v>13</v>
      </c>
      <c r="D712" s="69">
        <f t="shared" si="299"/>
        <v>0</v>
      </c>
      <c r="E712" s="82">
        <v>0</v>
      </c>
      <c r="F712" s="82">
        <v>0</v>
      </c>
      <c r="G712" s="82">
        <v>0</v>
      </c>
      <c r="H712" s="82">
        <v>0</v>
      </c>
      <c r="I712" s="82">
        <v>0</v>
      </c>
      <c r="J712" s="82">
        <v>0</v>
      </c>
      <c r="K712" s="82">
        <v>0</v>
      </c>
      <c r="L712" s="82">
        <v>0</v>
      </c>
      <c r="M712" s="82">
        <v>0</v>
      </c>
      <c r="N712" s="82">
        <v>0</v>
      </c>
      <c r="O712" s="82">
        <v>0</v>
      </c>
    </row>
    <row r="713" spans="1:15" ht="15.75" x14ac:dyDescent="0.2">
      <c r="A713" s="138" t="s">
        <v>431</v>
      </c>
      <c r="B713" s="138" t="s">
        <v>432</v>
      </c>
      <c r="C713" s="83" t="s">
        <v>7</v>
      </c>
      <c r="D713" s="69">
        <f t="shared" si="299"/>
        <v>4343.7999999999993</v>
      </c>
      <c r="E713" s="82">
        <f>E714+E715+E716+E717</f>
        <v>0</v>
      </c>
      <c r="F713" s="82">
        <f t="shared" ref="F713:H713" si="308">F714+F715+F716+F717</f>
        <v>0</v>
      </c>
      <c r="G713" s="82">
        <f t="shared" si="308"/>
        <v>0</v>
      </c>
      <c r="H713" s="82">
        <f t="shared" si="308"/>
        <v>0</v>
      </c>
      <c r="I713" s="82">
        <f>I714+I715+I716+I717</f>
        <v>0</v>
      </c>
      <c r="J713" s="82">
        <f t="shared" ref="J713:O713" si="309">J714+J715+J716+J717</f>
        <v>0</v>
      </c>
      <c r="K713" s="82">
        <f t="shared" si="309"/>
        <v>0</v>
      </c>
      <c r="L713" s="82">
        <f t="shared" si="309"/>
        <v>0</v>
      </c>
      <c r="M713" s="82">
        <f t="shared" si="309"/>
        <v>4343.7999999999993</v>
      </c>
      <c r="N713" s="82">
        <f t="shared" si="309"/>
        <v>0</v>
      </c>
      <c r="O713" s="82">
        <f t="shared" si="309"/>
        <v>0</v>
      </c>
    </row>
    <row r="714" spans="1:15" ht="15.75" x14ac:dyDescent="0.2">
      <c r="A714" s="138"/>
      <c r="B714" s="138"/>
      <c r="C714" s="96" t="s">
        <v>10</v>
      </c>
      <c r="D714" s="69">
        <f t="shared" ref="D714" si="310">E714+F714+G714+H714+I714+J714+K714+L714+M714+N714+O714</f>
        <v>0</v>
      </c>
      <c r="E714" s="82">
        <v>0</v>
      </c>
      <c r="F714" s="82">
        <v>0</v>
      </c>
      <c r="G714" s="82">
        <v>0</v>
      </c>
      <c r="H714" s="82">
        <v>0</v>
      </c>
      <c r="I714" s="82">
        <v>0</v>
      </c>
      <c r="J714" s="82">
        <v>0</v>
      </c>
      <c r="K714" s="82">
        <v>0</v>
      </c>
      <c r="L714" s="82">
        <v>0</v>
      </c>
      <c r="M714" s="82">
        <v>0</v>
      </c>
      <c r="N714" s="82">
        <v>0</v>
      </c>
      <c r="O714" s="82">
        <v>0</v>
      </c>
    </row>
    <row r="715" spans="1:15" ht="15.75" x14ac:dyDescent="0.2">
      <c r="A715" s="138"/>
      <c r="B715" s="138"/>
      <c r="C715" s="96" t="s">
        <v>11</v>
      </c>
      <c r="D715" s="69">
        <f>E715+F715+G715+H715+I715+J715+K715+L715+M715+N715+O715</f>
        <v>0</v>
      </c>
      <c r="E715" s="82">
        <v>0</v>
      </c>
      <c r="F715" s="82">
        <v>0</v>
      </c>
      <c r="G715" s="82">
        <v>0</v>
      </c>
      <c r="H715" s="82">
        <v>0</v>
      </c>
      <c r="I715" s="82">
        <v>0</v>
      </c>
      <c r="J715" s="82">
        <v>0</v>
      </c>
      <c r="K715" s="82">
        <v>0</v>
      </c>
      <c r="L715" s="82">
        <v>0</v>
      </c>
      <c r="M715" s="82">
        <v>0</v>
      </c>
      <c r="N715" s="82">
        <v>0</v>
      </c>
      <c r="O715" s="82">
        <v>0</v>
      </c>
    </row>
    <row r="716" spans="1:15" ht="15.75" x14ac:dyDescent="0.2">
      <c r="A716" s="138"/>
      <c r="B716" s="138"/>
      <c r="C716" s="96" t="s">
        <v>12</v>
      </c>
      <c r="D716" s="69">
        <f t="shared" ref="D716:D719" si="311">E716+F716+G716+H716+I716+J716+K716+L716+M716+N716+O716</f>
        <v>4343.7999999999993</v>
      </c>
      <c r="E716" s="82">
        <v>0</v>
      </c>
      <c r="F716" s="82">
        <v>0</v>
      </c>
      <c r="G716" s="82">
        <v>0</v>
      </c>
      <c r="H716" s="82">
        <v>0</v>
      </c>
      <c r="I716" s="82">
        <v>0</v>
      </c>
      <c r="J716" s="82">
        <v>0</v>
      </c>
      <c r="K716" s="82">
        <v>0</v>
      </c>
      <c r="L716" s="82">
        <f>4928.6-2120.3-2808.3</f>
        <v>0</v>
      </c>
      <c r="M716" s="82">
        <f>4343.9-0.1</f>
        <v>4343.7999999999993</v>
      </c>
      <c r="N716" s="82">
        <v>0</v>
      </c>
      <c r="O716" s="82">
        <v>0</v>
      </c>
    </row>
    <row r="717" spans="1:15" ht="15.75" x14ac:dyDescent="0.2">
      <c r="A717" s="138"/>
      <c r="B717" s="138"/>
      <c r="C717" s="96" t="s">
        <v>13</v>
      </c>
      <c r="D717" s="69">
        <f t="shared" si="311"/>
        <v>0</v>
      </c>
      <c r="E717" s="82">
        <v>0</v>
      </c>
      <c r="F717" s="82">
        <v>0</v>
      </c>
      <c r="G717" s="82">
        <v>0</v>
      </c>
      <c r="H717" s="82">
        <v>0</v>
      </c>
      <c r="I717" s="82">
        <v>0</v>
      </c>
      <c r="J717" s="82">
        <v>0</v>
      </c>
      <c r="K717" s="82">
        <v>0</v>
      </c>
      <c r="L717" s="82">
        <v>0</v>
      </c>
      <c r="M717" s="82">
        <v>0</v>
      </c>
      <c r="N717" s="82">
        <v>0</v>
      </c>
      <c r="O717" s="82">
        <v>0</v>
      </c>
    </row>
    <row r="718" spans="1:15" ht="15.75" x14ac:dyDescent="0.2">
      <c r="A718" s="138" t="s">
        <v>449</v>
      </c>
      <c r="B718" s="138" t="s">
        <v>450</v>
      </c>
      <c r="C718" s="83" t="s">
        <v>7</v>
      </c>
      <c r="D718" s="69">
        <f t="shared" si="311"/>
        <v>7466.9</v>
      </c>
      <c r="E718" s="82">
        <f>E719+E720+E721+E722</f>
        <v>0</v>
      </c>
      <c r="F718" s="82">
        <f t="shared" ref="F718:H718" si="312">F719+F720+F721+F722</f>
        <v>0</v>
      </c>
      <c r="G718" s="82">
        <f t="shared" si="312"/>
        <v>0</v>
      </c>
      <c r="H718" s="82">
        <f t="shared" si="312"/>
        <v>0</v>
      </c>
      <c r="I718" s="82">
        <f>I719+I720+I721+I722</f>
        <v>0</v>
      </c>
      <c r="J718" s="82">
        <f t="shared" ref="J718:O718" si="313">J719+J720+J721+J722</f>
        <v>0</v>
      </c>
      <c r="K718" s="82">
        <f t="shared" si="313"/>
        <v>0</v>
      </c>
      <c r="L718" s="82">
        <f t="shared" si="313"/>
        <v>0</v>
      </c>
      <c r="M718" s="82">
        <f t="shared" si="313"/>
        <v>7466.9</v>
      </c>
      <c r="N718" s="82">
        <f t="shared" si="313"/>
        <v>0</v>
      </c>
      <c r="O718" s="82">
        <f t="shared" si="313"/>
        <v>0</v>
      </c>
    </row>
    <row r="719" spans="1:15" ht="15.75" x14ac:dyDescent="0.2">
      <c r="A719" s="138"/>
      <c r="B719" s="138"/>
      <c r="C719" s="96" t="s">
        <v>10</v>
      </c>
      <c r="D719" s="69">
        <f t="shared" si="311"/>
        <v>0</v>
      </c>
      <c r="E719" s="82">
        <v>0</v>
      </c>
      <c r="F719" s="82">
        <v>0</v>
      </c>
      <c r="G719" s="82">
        <v>0</v>
      </c>
      <c r="H719" s="82">
        <v>0</v>
      </c>
      <c r="I719" s="82">
        <v>0</v>
      </c>
      <c r="J719" s="82">
        <v>0</v>
      </c>
      <c r="K719" s="82">
        <v>0</v>
      </c>
      <c r="L719" s="82">
        <v>0</v>
      </c>
      <c r="M719" s="82">
        <v>0</v>
      </c>
      <c r="N719" s="82">
        <v>0</v>
      </c>
      <c r="O719" s="82">
        <v>0</v>
      </c>
    </row>
    <row r="720" spans="1:15" ht="15.75" x14ac:dyDescent="0.2">
      <c r="A720" s="138"/>
      <c r="B720" s="138"/>
      <c r="C720" s="96" t="s">
        <v>11</v>
      </c>
      <c r="D720" s="69">
        <f>E720+F720+G720+H720+I720+J720+K720+L720+M720+N720+O720</f>
        <v>7018.9</v>
      </c>
      <c r="E720" s="82">
        <v>0</v>
      </c>
      <c r="F720" s="82">
        <v>0</v>
      </c>
      <c r="G720" s="82">
        <v>0</v>
      </c>
      <c r="H720" s="82">
        <v>0</v>
      </c>
      <c r="I720" s="82">
        <v>0</v>
      </c>
      <c r="J720" s="82">
        <v>0</v>
      </c>
      <c r="K720" s="82">
        <v>0</v>
      </c>
      <c r="L720" s="82">
        <v>0</v>
      </c>
      <c r="M720" s="82">
        <v>7018.9</v>
      </c>
      <c r="N720" s="82">
        <v>0</v>
      </c>
      <c r="O720" s="82">
        <v>0</v>
      </c>
    </row>
    <row r="721" spans="1:15" ht="15.75" x14ac:dyDescent="0.2">
      <c r="A721" s="138"/>
      <c r="B721" s="138"/>
      <c r="C721" s="96" t="s">
        <v>12</v>
      </c>
      <c r="D721" s="69">
        <f t="shared" ref="D721:D724" si="314">E721+F721+G721+H721+I721+J721+K721+L721+M721+N721+O721</f>
        <v>448</v>
      </c>
      <c r="E721" s="82">
        <v>0</v>
      </c>
      <c r="F721" s="82">
        <v>0</v>
      </c>
      <c r="G721" s="82">
        <v>0</v>
      </c>
      <c r="H721" s="82">
        <v>0</v>
      </c>
      <c r="I721" s="82">
        <v>0</v>
      </c>
      <c r="J721" s="82">
        <v>0</v>
      </c>
      <c r="K721" s="82">
        <v>0</v>
      </c>
      <c r="L721" s="82">
        <f>4928.6-2120.3-2808.3</f>
        <v>0</v>
      </c>
      <c r="M721" s="82">
        <v>448</v>
      </c>
      <c r="N721" s="82">
        <v>0</v>
      </c>
      <c r="O721" s="82">
        <v>0</v>
      </c>
    </row>
    <row r="722" spans="1:15" ht="15.75" x14ac:dyDescent="0.2">
      <c r="A722" s="138"/>
      <c r="B722" s="138"/>
      <c r="C722" s="96" t="s">
        <v>13</v>
      </c>
      <c r="D722" s="69">
        <f t="shared" si="314"/>
        <v>0</v>
      </c>
      <c r="E722" s="82">
        <v>0</v>
      </c>
      <c r="F722" s="82">
        <v>0</v>
      </c>
      <c r="G722" s="82">
        <v>0</v>
      </c>
      <c r="H722" s="82">
        <v>0</v>
      </c>
      <c r="I722" s="82">
        <v>0</v>
      </c>
      <c r="J722" s="82">
        <v>0</v>
      </c>
      <c r="K722" s="82">
        <v>0</v>
      </c>
      <c r="L722" s="82">
        <v>0</v>
      </c>
      <c r="M722" s="82">
        <v>0</v>
      </c>
      <c r="N722" s="82">
        <v>0</v>
      </c>
      <c r="O722" s="82">
        <v>0</v>
      </c>
    </row>
    <row r="723" spans="1:15" ht="15.75" x14ac:dyDescent="0.2">
      <c r="A723" s="138" t="s">
        <v>461</v>
      </c>
      <c r="B723" s="138" t="s">
        <v>458</v>
      </c>
      <c r="C723" s="101" t="s">
        <v>7</v>
      </c>
      <c r="D723" s="69">
        <f t="shared" si="314"/>
        <v>28900</v>
      </c>
      <c r="E723" s="69">
        <f>E724+E725+E726+E727</f>
        <v>0</v>
      </c>
      <c r="F723" s="69">
        <f t="shared" ref="F723:M723" si="315">F724+F725+F726+F727</f>
        <v>0</v>
      </c>
      <c r="G723" s="69">
        <f t="shared" si="315"/>
        <v>0</v>
      </c>
      <c r="H723" s="69">
        <f t="shared" si="315"/>
        <v>0</v>
      </c>
      <c r="I723" s="69">
        <f t="shared" si="315"/>
        <v>0</v>
      </c>
      <c r="J723" s="69">
        <f t="shared" si="315"/>
        <v>0</v>
      </c>
      <c r="K723" s="69">
        <f t="shared" si="315"/>
        <v>0</v>
      </c>
      <c r="L723" s="69">
        <f t="shared" si="315"/>
        <v>0</v>
      </c>
      <c r="M723" s="69">
        <f t="shared" si="315"/>
        <v>0</v>
      </c>
      <c r="N723" s="69">
        <f>N730</f>
        <v>28900</v>
      </c>
      <c r="O723" s="69">
        <f t="shared" ref="O723" si="316">O724+O725+O726+O727</f>
        <v>0</v>
      </c>
    </row>
    <row r="724" spans="1:15" ht="15.75" x14ac:dyDescent="0.2">
      <c r="A724" s="139"/>
      <c r="B724" s="138"/>
      <c r="C724" s="96" t="s">
        <v>10</v>
      </c>
      <c r="D724" s="69">
        <f t="shared" si="314"/>
        <v>0</v>
      </c>
      <c r="E724" s="69">
        <v>0</v>
      </c>
      <c r="F724" s="69">
        <v>0</v>
      </c>
      <c r="G724" s="69">
        <v>0</v>
      </c>
      <c r="H724" s="69">
        <v>0</v>
      </c>
      <c r="I724" s="69">
        <v>0</v>
      </c>
      <c r="J724" s="69">
        <v>0</v>
      </c>
      <c r="K724" s="69">
        <v>0</v>
      </c>
      <c r="L724" s="69">
        <v>0</v>
      </c>
      <c r="M724" s="69">
        <v>0</v>
      </c>
      <c r="N724" s="69">
        <v>0</v>
      </c>
      <c r="O724" s="69">
        <v>0</v>
      </c>
    </row>
    <row r="725" spans="1:15" ht="15.75" x14ac:dyDescent="0.2">
      <c r="A725" s="139"/>
      <c r="B725" s="138"/>
      <c r="C725" s="96" t="s">
        <v>11</v>
      </c>
      <c r="D725" s="69">
        <f>E725+F725+G725+H725+I725+J725+K725+L725+M725+N725+O725</f>
        <v>28900</v>
      </c>
      <c r="E725" s="69">
        <v>0</v>
      </c>
      <c r="F725" s="69">
        <v>0</v>
      </c>
      <c r="G725" s="69">
        <v>0</v>
      </c>
      <c r="H725" s="69">
        <v>0</v>
      </c>
      <c r="I725" s="69">
        <v>0</v>
      </c>
      <c r="J725" s="69">
        <v>0</v>
      </c>
      <c r="K725" s="69">
        <v>0</v>
      </c>
      <c r="L725" s="69">
        <v>0</v>
      </c>
      <c r="M725" s="69">
        <f>M730</f>
        <v>0</v>
      </c>
      <c r="N725" s="69">
        <f>N730</f>
        <v>28900</v>
      </c>
      <c r="O725" s="69">
        <v>0</v>
      </c>
    </row>
    <row r="726" spans="1:15" ht="15.75" x14ac:dyDescent="0.2">
      <c r="A726" s="139"/>
      <c r="B726" s="138"/>
      <c r="C726" s="96" t="s">
        <v>12</v>
      </c>
      <c r="D726" s="69">
        <f t="shared" ref="D726:D729" si="317">E726+F726+G726+H726+I726+J726+K726+L726+M726+N726+O726</f>
        <v>0</v>
      </c>
      <c r="E726" s="69">
        <v>0</v>
      </c>
      <c r="F726" s="69">
        <v>0</v>
      </c>
      <c r="G726" s="69">
        <v>0</v>
      </c>
      <c r="H726" s="69">
        <v>0</v>
      </c>
      <c r="I726" s="69">
        <v>0</v>
      </c>
      <c r="J726" s="69">
        <v>0</v>
      </c>
      <c r="K726" s="69">
        <v>0</v>
      </c>
      <c r="L726" s="69">
        <v>0</v>
      </c>
      <c r="M726" s="69">
        <f>M731</f>
        <v>0</v>
      </c>
      <c r="N726" s="69">
        <f>N731</f>
        <v>0</v>
      </c>
      <c r="O726" s="69">
        <v>0</v>
      </c>
    </row>
    <row r="727" spans="1:15" ht="15.75" x14ac:dyDescent="0.2">
      <c r="A727" s="139"/>
      <c r="B727" s="138"/>
      <c r="C727" s="96" t="s">
        <v>13</v>
      </c>
      <c r="D727" s="69">
        <f t="shared" si="317"/>
        <v>0</v>
      </c>
      <c r="E727" s="69">
        <v>0</v>
      </c>
      <c r="F727" s="69">
        <v>0</v>
      </c>
      <c r="G727" s="69">
        <v>0</v>
      </c>
      <c r="H727" s="69">
        <v>0</v>
      </c>
      <c r="I727" s="69">
        <v>0</v>
      </c>
      <c r="J727" s="69">
        <v>0</v>
      </c>
      <c r="K727" s="69">
        <v>0</v>
      </c>
      <c r="L727" s="69">
        <v>0</v>
      </c>
      <c r="M727" s="69">
        <v>0</v>
      </c>
      <c r="N727" s="69">
        <v>0</v>
      </c>
      <c r="O727" s="69">
        <v>0</v>
      </c>
    </row>
    <row r="728" spans="1:15" ht="15.75" x14ac:dyDescent="0.2">
      <c r="A728" s="138" t="s">
        <v>462</v>
      </c>
      <c r="B728" s="138" t="s">
        <v>463</v>
      </c>
      <c r="C728" s="101" t="s">
        <v>7</v>
      </c>
      <c r="D728" s="69">
        <f t="shared" si="317"/>
        <v>28900</v>
      </c>
      <c r="E728" s="69">
        <f>E729+E730+E731+E732</f>
        <v>0</v>
      </c>
      <c r="F728" s="69">
        <f t="shared" ref="F728:O728" si="318">F729+F730+F731+F732</f>
        <v>0</v>
      </c>
      <c r="G728" s="69">
        <f t="shared" si="318"/>
        <v>0</v>
      </c>
      <c r="H728" s="69">
        <f t="shared" si="318"/>
        <v>0</v>
      </c>
      <c r="I728" s="69">
        <f t="shared" si="318"/>
        <v>0</v>
      </c>
      <c r="J728" s="69">
        <f t="shared" si="318"/>
        <v>0</v>
      </c>
      <c r="K728" s="69">
        <f t="shared" si="318"/>
        <v>0</v>
      </c>
      <c r="L728" s="69">
        <f t="shared" si="318"/>
        <v>0</v>
      </c>
      <c r="M728" s="69">
        <f t="shared" si="318"/>
        <v>0</v>
      </c>
      <c r="N728" s="69">
        <f t="shared" si="318"/>
        <v>28900</v>
      </c>
      <c r="O728" s="69">
        <f t="shared" si="318"/>
        <v>0</v>
      </c>
    </row>
    <row r="729" spans="1:15" ht="15.75" x14ac:dyDescent="0.2">
      <c r="A729" s="139"/>
      <c r="B729" s="138"/>
      <c r="C729" s="96" t="s">
        <v>10</v>
      </c>
      <c r="D729" s="69">
        <f t="shared" si="317"/>
        <v>0</v>
      </c>
      <c r="E729" s="69">
        <v>0</v>
      </c>
      <c r="F729" s="69">
        <v>0</v>
      </c>
      <c r="G729" s="69">
        <v>0</v>
      </c>
      <c r="H729" s="69">
        <v>0</v>
      </c>
      <c r="I729" s="69">
        <v>0</v>
      </c>
      <c r="J729" s="69">
        <v>0</v>
      </c>
      <c r="K729" s="69">
        <v>0</v>
      </c>
      <c r="L729" s="69">
        <v>0</v>
      </c>
      <c r="M729" s="69">
        <v>0</v>
      </c>
      <c r="N729" s="69">
        <v>0</v>
      </c>
      <c r="O729" s="69">
        <v>0</v>
      </c>
    </row>
    <row r="730" spans="1:15" ht="15.75" x14ac:dyDescent="0.2">
      <c r="A730" s="139"/>
      <c r="B730" s="138"/>
      <c r="C730" s="96" t="s">
        <v>11</v>
      </c>
      <c r="D730" s="69">
        <f>E730+F730+G730+H730+I730+J730+K730+L730+M730+N730+O730</f>
        <v>28900</v>
      </c>
      <c r="E730" s="69">
        <v>0</v>
      </c>
      <c r="F730" s="69">
        <v>0</v>
      </c>
      <c r="G730" s="69">
        <v>0</v>
      </c>
      <c r="H730" s="69">
        <v>0</v>
      </c>
      <c r="I730" s="69">
        <v>0</v>
      </c>
      <c r="J730" s="69">
        <v>0</v>
      </c>
      <c r="K730" s="69">
        <v>0</v>
      </c>
      <c r="L730" s="69">
        <v>0</v>
      </c>
      <c r="M730" s="69">
        <v>0</v>
      </c>
      <c r="N730" s="69">
        <v>28900</v>
      </c>
      <c r="O730" s="69">
        <v>0</v>
      </c>
    </row>
    <row r="731" spans="1:15" ht="15.75" x14ac:dyDescent="0.2">
      <c r="A731" s="139"/>
      <c r="B731" s="138"/>
      <c r="C731" s="96" t="s">
        <v>12</v>
      </c>
      <c r="D731" s="69">
        <f t="shared" ref="D731:D737" si="319">E731+F731+G731+H731+I731+J731+K731+L731+M731+N731+O731</f>
        <v>0</v>
      </c>
      <c r="E731" s="69">
        <v>0</v>
      </c>
      <c r="F731" s="69">
        <v>0</v>
      </c>
      <c r="G731" s="69">
        <v>0</v>
      </c>
      <c r="H731" s="69">
        <v>0</v>
      </c>
      <c r="I731" s="69">
        <v>0</v>
      </c>
      <c r="J731" s="69">
        <v>0</v>
      </c>
      <c r="K731" s="69">
        <v>0</v>
      </c>
      <c r="L731" s="69">
        <v>0</v>
      </c>
      <c r="M731" s="69">
        <v>0</v>
      </c>
      <c r="N731" s="69">
        <v>0</v>
      </c>
      <c r="O731" s="69">
        <v>0</v>
      </c>
    </row>
    <row r="732" spans="1:15" ht="15.75" x14ac:dyDescent="0.2">
      <c r="A732" s="139"/>
      <c r="B732" s="138"/>
      <c r="C732" s="96" t="s">
        <v>13</v>
      </c>
      <c r="D732" s="69">
        <f t="shared" si="319"/>
        <v>0</v>
      </c>
      <c r="E732" s="69">
        <v>0</v>
      </c>
      <c r="F732" s="69">
        <v>0</v>
      </c>
      <c r="G732" s="69">
        <v>0</v>
      </c>
      <c r="H732" s="69">
        <v>0</v>
      </c>
      <c r="I732" s="69">
        <v>0</v>
      </c>
      <c r="J732" s="69">
        <v>0</v>
      </c>
      <c r="K732" s="69">
        <v>0</v>
      </c>
      <c r="L732" s="69">
        <v>0</v>
      </c>
      <c r="M732" s="69">
        <v>0</v>
      </c>
      <c r="N732" s="69">
        <v>0</v>
      </c>
      <c r="O732" s="69">
        <v>0</v>
      </c>
    </row>
    <row r="733" spans="1:15" ht="47.25" customHeight="1" x14ac:dyDescent="0.2">
      <c r="A733" s="181" t="s">
        <v>464</v>
      </c>
      <c r="B733" s="181" t="s">
        <v>465</v>
      </c>
      <c r="C733" s="102" t="s">
        <v>7</v>
      </c>
      <c r="D733" s="69">
        <f t="shared" si="319"/>
        <v>1923.2</v>
      </c>
      <c r="E733" s="69">
        <f>E734+E735+E736+E737</f>
        <v>0</v>
      </c>
      <c r="F733" s="69">
        <f t="shared" ref="F733:O733" si="320">F734+F735+F736+F737</f>
        <v>0</v>
      </c>
      <c r="G733" s="69">
        <f t="shared" si="320"/>
        <v>0</v>
      </c>
      <c r="H733" s="69">
        <f t="shared" si="320"/>
        <v>0</v>
      </c>
      <c r="I733" s="69">
        <f t="shared" si="320"/>
        <v>0</v>
      </c>
      <c r="J733" s="69">
        <f t="shared" si="320"/>
        <v>0</v>
      </c>
      <c r="K733" s="69">
        <f t="shared" si="320"/>
        <v>0</v>
      </c>
      <c r="L733" s="69">
        <f t="shared" si="320"/>
        <v>0</v>
      </c>
      <c r="M733" s="69">
        <f t="shared" si="320"/>
        <v>1923.2</v>
      </c>
      <c r="N733" s="69">
        <f t="shared" si="320"/>
        <v>0</v>
      </c>
      <c r="O733" s="69">
        <f t="shared" si="320"/>
        <v>0</v>
      </c>
    </row>
    <row r="734" spans="1:15" ht="18.75" customHeight="1" x14ac:dyDescent="0.2">
      <c r="A734" s="182"/>
      <c r="B734" s="182"/>
      <c r="C734" s="102" t="s">
        <v>10</v>
      </c>
      <c r="D734" s="69">
        <f t="shared" si="319"/>
        <v>0</v>
      </c>
      <c r="E734" s="69">
        <v>0</v>
      </c>
      <c r="F734" s="69">
        <v>0</v>
      </c>
      <c r="G734" s="69">
        <v>0</v>
      </c>
      <c r="H734" s="69">
        <v>0</v>
      </c>
      <c r="I734" s="69">
        <v>0</v>
      </c>
      <c r="J734" s="69">
        <v>0</v>
      </c>
      <c r="K734" s="69">
        <v>0</v>
      </c>
      <c r="L734" s="69">
        <v>0</v>
      </c>
      <c r="M734" s="69">
        <v>0</v>
      </c>
      <c r="N734" s="69">
        <v>0</v>
      </c>
      <c r="O734" s="69">
        <v>0</v>
      </c>
    </row>
    <row r="735" spans="1:15" ht="18.75" customHeight="1" x14ac:dyDescent="0.2">
      <c r="A735" s="182"/>
      <c r="B735" s="182"/>
      <c r="C735" s="102" t="s">
        <v>11</v>
      </c>
      <c r="D735" s="69">
        <f t="shared" si="319"/>
        <v>0</v>
      </c>
      <c r="E735" s="69">
        <v>0</v>
      </c>
      <c r="F735" s="69">
        <v>0</v>
      </c>
      <c r="G735" s="69">
        <v>0</v>
      </c>
      <c r="H735" s="69">
        <v>0</v>
      </c>
      <c r="I735" s="69">
        <v>0</v>
      </c>
      <c r="J735" s="69">
        <v>0</v>
      </c>
      <c r="K735" s="69">
        <v>0</v>
      </c>
      <c r="L735" s="69">
        <v>0</v>
      </c>
      <c r="M735" s="69">
        <v>0</v>
      </c>
      <c r="N735" s="69">
        <v>0</v>
      </c>
      <c r="O735" s="69">
        <v>0</v>
      </c>
    </row>
    <row r="736" spans="1:15" ht="18.75" customHeight="1" x14ac:dyDescent="0.2">
      <c r="A736" s="182"/>
      <c r="B736" s="182"/>
      <c r="C736" s="102" t="s">
        <v>12</v>
      </c>
      <c r="D736" s="69">
        <f t="shared" si="319"/>
        <v>1923.2</v>
      </c>
      <c r="E736" s="69">
        <v>0</v>
      </c>
      <c r="F736" s="69">
        <v>0</v>
      </c>
      <c r="G736" s="69">
        <v>0</v>
      </c>
      <c r="H736" s="69">
        <v>0</v>
      </c>
      <c r="I736" s="69">
        <v>0</v>
      </c>
      <c r="J736" s="69">
        <v>0</v>
      </c>
      <c r="K736" s="69">
        <v>0</v>
      </c>
      <c r="L736" s="69">
        <v>0</v>
      </c>
      <c r="M736" s="57">
        <v>1923.2</v>
      </c>
      <c r="N736" s="69">
        <v>0</v>
      </c>
      <c r="O736" s="69">
        <v>0</v>
      </c>
    </row>
    <row r="737" spans="1:15" ht="18.75" customHeight="1" x14ac:dyDescent="0.2">
      <c r="A737" s="183"/>
      <c r="B737" s="183"/>
      <c r="C737" s="102" t="s">
        <v>13</v>
      </c>
      <c r="D737" s="69">
        <f t="shared" si="319"/>
        <v>0</v>
      </c>
      <c r="E737" s="69">
        <v>0</v>
      </c>
      <c r="F737" s="69">
        <v>0</v>
      </c>
      <c r="G737" s="69">
        <v>0</v>
      </c>
      <c r="H737" s="69">
        <v>0</v>
      </c>
      <c r="I737" s="69">
        <v>0</v>
      </c>
      <c r="J737" s="69">
        <v>0</v>
      </c>
      <c r="K737" s="69">
        <v>0</v>
      </c>
      <c r="L737" s="69">
        <v>0</v>
      </c>
      <c r="M737" s="69">
        <v>0</v>
      </c>
      <c r="N737" s="69">
        <v>0</v>
      </c>
      <c r="O737" s="69">
        <v>0</v>
      </c>
    </row>
    <row r="738" spans="1:15" ht="15.75" x14ac:dyDescent="0.2">
      <c r="A738" s="138" t="s">
        <v>282</v>
      </c>
      <c r="B738" s="138" t="s">
        <v>283</v>
      </c>
      <c r="C738" s="96" t="s">
        <v>7</v>
      </c>
      <c r="D738" s="69">
        <f t="shared" si="287"/>
        <v>970590.80000000016</v>
      </c>
      <c r="E738" s="69">
        <f t="shared" ref="E738:O738" si="321">E739+E740+E742+E744</f>
        <v>0</v>
      </c>
      <c r="F738" s="69">
        <f t="shared" si="321"/>
        <v>0</v>
      </c>
      <c r="G738" s="69">
        <f t="shared" si="321"/>
        <v>0</v>
      </c>
      <c r="H738" s="69">
        <f t="shared" si="321"/>
        <v>0</v>
      </c>
      <c r="I738" s="69">
        <f t="shared" si="321"/>
        <v>52500</v>
      </c>
      <c r="J738" s="69">
        <f>J739+J740+J742+J744</f>
        <v>227517.2</v>
      </c>
      <c r="K738" s="69">
        <f t="shared" si="321"/>
        <v>393667.4</v>
      </c>
      <c r="L738" s="69">
        <f t="shared" si="321"/>
        <v>208770.3</v>
      </c>
      <c r="M738" s="69">
        <f t="shared" si="321"/>
        <v>88135.900000000009</v>
      </c>
      <c r="N738" s="69">
        <f t="shared" si="321"/>
        <v>0</v>
      </c>
      <c r="O738" s="69">
        <f t="shared" si="321"/>
        <v>0</v>
      </c>
    </row>
    <row r="739" spans="1:15" ht="15.75" x14ac:dyDescent="0.2">
      <c r="A739" s="139"/>
      <c r="B739" s="153"/>
      <c r="C739" s="96" t="s">
        <v>10</v>
      </c>
      <c r="D739" s="69">
        <f t="shared" si="287"/>
        <v>0</v>
      </c>
      <c r="E739" s="69">
        <f>E746</f>
        <v>0</v>
      </c>
      <c r="F739" s="69">
        <f t="shared" ref="F739:K739" si="322">F746</f>
        <v>0</v>
      </c>
      <c r="G739" s="69">
        <f t="shared" si="322"/>
        <v>0</v>
      </c>
      <c r="H739" s="69">
        <f t="shared" si="322"/>
        <v>0</v>
      </c>
      <c r="I739" s="69">
        <f t="shared" si="322"/>
        <v>0</v>
      </c>
      <c r="J739" s="69">
        <f>J746</f>
        <v>0</v>
      </c>
      <c r="K739" s="69">
        <f t="shared" si="322"/>
        <v>0</v>
      </c>
      <c r="L739" s="69">
        <f>L779+L789+L801+L817+L828+L835</f>
        <v>0</v>
      </c>
      <c r="M739" s="69">
        <f>M779+M789+M801+M817+M828+M835</f>
        <v>0</v>
      </c>
      <c r="N739" s="69">
        <f>N779+N789+N801+N817+N828+N835</f>
        <v>0</v>
      </c>
      <c r="O739" s="69">
        <f>O779+O789+O801+O817+O828+O835</f>
        <v>0</v>
      </c>
    </row>
    <row r="740" spans="1:15" ht="31.5" x14ac:dyDescent="0.2">
      <c r="A740" s="139"/>
      <c r="B740" s="153"/>
      <c r="C740" s="96" t="s">
        <v>69</v>
      </c>
      <c r="D740" s="69">
        <f t="shared" si="287"/>
        <v>905425.9</v>
      </c>
      <c r="E740" s="69">
        <f t="shared" ref="E740:O740" si="323">E747</f>
        <v>0</v>
      </c>
      <c r="F740" s="69">
        <f t="shared" si="323"/>
        <v>0</v>
      </c>
      <c r="G740" s="69">
        <f t="shared" si="323"/>
        <v>0</v>
      </c>
      <c r="H740" s="69">
        <f t="shared" si="323"/>
        <v>0</v>
      </c>
      <c r="I740" s="69">
        <f t="shared" si="323"/>
        <v>50000</v>
      </c>
      <c r="J740" s="69">
        <f>J747</f>
        <v>213866.1</v>
      </c>
      <c r="K740" s="69">
        <f t="shared" si="323"/>
        <v>368985.2</v>
      </c>
      <c r="L740" s="69">
        <f t="shared" si="323"/>
        <v>195620.5</v>
      </c>
      <c r="M740" s="69">
        <f t="shared" si="323"/>
        <v>76954.100000000006</v>
      </c>
      <c r="N740" s="69">
        <f t="shared" si="323"/>
        <v>0</v>
      </c>
      <c r="O740" s="69">
        <f t="shared" si="323"/>
        <v>0</v>
      </c>
    </row>
    <row r="741" spans="1:15" ht="31.5" x14ac:dyDescent="0.2">
      <c r="A741" s="139"/>
      <c r="B741" s="153"/>
      <c r="C741" s="72" t="s">
        <v>81</v>
      </c>
      <c r="D741" s="71">
        <f t="shared" ref="D741" si="324">E741+F741+G741+H741+I741+J741+K741+L741+M741+N741+O741</f>
        <v>11279.3</v>
      </c>
      <c r="E741" s="71">
        <v>0</v>
      </c>
      <c r="F741" s="71">
        <v>0</v>
      </c>
      <c r="G741" s="71">
        <v>0</v>
      </c>
      <c r="H741" s="71">
        <v>0</v>
      </c>
      <c r="I741" s="71">
        <v>0</v>
      </c>
      <c r="J741" s="71">
        <v>0</v>
      </c>
      <c r="K741" s="71">
        <v>0</v>
      </c>
      <c r="L741" s="71">
        <v>0</v>
      </c>
      <c r="M741" s="71">
        <v>11279.3</v>
      </c>
      <c r="N741" s="69">
        <v>0</v>
      </c>
      <c r="O741" s="69">
        <v>0</v>
      </c>
    </row>
    <row r="742" spans="1:15" ht="31.5" x14ac:dyDescent="0.2">
      <c r="A742" s="139"/>
      <c r="B742" s="153"/>
      <c r="C742" s="96" t="s">
        <v>65</v>
      </c>
      <c r="D742" s="69">
        <f t="shared" ref="D742:D791" si="325">E742+F742+G742+H742+I742+J742+K742+L742+M742+N742+O742</f>
        <v>65164.900000000009</v>
      </c>
      <c r="E742" s="69">
        <f t="shared" ref="E742:O742" si="326">E749</f>
        <v>0</v>
      </c>
      <c r="F742" s="69">
        <f t="shared" si="326"/>
        <v>0</v>
      </c>
      <c r="G742" s="69">
        <f t="shared" si="326"/>
        <v>0</v>
      </c>
      <c r="H742" s="69">
        <f t="shared" si="326"/>
        <v>0</v>
      </c>
      <c r="I742" s="69">
        <f t="shared" si="326"/>
        <v>2500</v>
      </c>
      <c r="J742" s="69">
        <f>J749</f>
        <v>13651.1</v>
      </c>
      <c r="K742" s="69">
        <f t="shared" si="326"/>
        <v>24682.2</v>
      </c>
      <c r="L742" s="69">
        <f t="shared" si="326"/>
        <v>13149.8</v>
      </c>
      <c r="M742" s="69">
        <f t="shared" si="326"/>
        <v>11181.8</v>
      </c>
      <c r="N742" s="69">
        <f t="shared" si="326"/>
        <v>0</v>
      </c>
      <c r="O742" s="69">
        <f t="shared" si="326"/>
        <v>0</v>
      </c>
    </row>
    <row r="743" spans="1:15" ht="31.5" x14ac:dyDescent="0.2">
      <c r="A743" s="139"/>
      <c r="B743" s="153"/>
      <c r="C743" s="72" t="s">
        <v>448</v>
      </c>
      <c r="D743" s="71">
        <f t="shared" ref="D743" si="327">E743+F743+G743+H743+I743+J743+K743+L743+M743+N743+O743</f>
        <v>719.9</v>
      </c>
      <c r="E743" s="71">
        <v>0</v>
      </c>
      <c r="F743" s="71">
        <v>0</v>
      </c>
      <c r="G743" s="71">
        <v>0</v>
      </c>
      <c r="H743" s="71">
        <v>0</v>
      </c>
      <c r="I743" s="71">
        <v>0</v>
      </c>
      <c r="J743" s="71">
        <v>0</v>
      </c>
      <c r="K743" s="71">
        <v>0</v>
      </c>
      <c r="L743" s="71">
        <v>0</v>
      </c>
      <c r="M743" s="71">
        <v>719.9</v>
      </c>
      <c r="N743" s="71">
        <v>0</v>
      </c>
      <c r="O743" s="71">
        <v>0</v>
      </c>
    </row>
    <row r="744" spans="1:15" ht="33" customHeight="1" x14ac:dyDescent="0.2">
      <c r="A744" s="139"/>
      <c r="B744" s="153"/>
      <c r="C744" s="96" t="s">
        <v>13</v>
      </c>
      <c r="D744" s="69">
        <f t="shared" si="325"/>
        <v>0</v>
      </c>
      <c r="E744" s="69">
        <f t="shared" ref="E744:K744" si="328">E751</f>
        <v>0</v>
      </c>
      <c r="F744" s="69">
        <f t="shared" si="328"/>
        <v>0</v>
      </c>
      <c r="G744" s="69">
        <f t="shared" si="328"/>
        <v>0</v>
      </c>
      <c r="H744" s="69">
        <f t="shared" si="328"/>
        <v>0</v>
      </c>
      <c r="I744" s="69">
        <f t="shared" si="328"/>
        <v>0</v>
      </c>
      <c r="J744" s="69">
        <f>J751</f>
        <v>0</v>
      </c>
      <c r="K744" s="69">
        <f t="shared" si="328"/>
        <v>0</v>
      </c>
      <c r="L744" s="69">
        <v>0</v>
      </c>
      <c r="M744" s="69">
        <v>0</v>
      </c>
      <c r="N744" s="69">
        <v>0</v>
      </c>
      <c r="O744" s="69">
        <v>0</v>
      </c>
    </row>
    <row r="745" spans="1:15" ht="15.75" x14ac:dyDescent="0.2">
      <c r="A745" s="138" t="s">
        <v>284</v>
      </c>
      <c r="B745" s="138" t="s">
        <v>285</v>
      </c>
      <c r="C745" s="96" t="s">
        <v>7</v>
      </c>
      <c r="D745" s="69">
        <f t="shared" si="325"/>
        <v>970590.80000000016</v>
      </c>
      <c r="E745" s="69">
        <f t="shared" ref="E745:J745" si="329">E746+E747+E749+E751</f>
        <v>0</v>
      </c>
      <c r="F745" s="69">
        <f t="shared" si="329"/>
        <v>0</v>
      </c>
      <c r="G745" s="69">
        <f t="shared" si="329"/>
        <v>0</v>
      </c>
      <c r="H745" s="69">
        <f t="shared" si="329"/>
        <v>0</v>
      </c>
      <c r="I745" s="69">
        <f t="shared" si="329"/>
        <v>52500</v>
      </c>
      <c r="J745" s="69">
        <f t="shared" si="329"/>
        <v>227517.2</v>
      </c>
      <c r="K745" s="69">
        <f>K746+K747+K749+K751</f>
        <v>393667.4</v>
      </c>
      <c r="L745" s="69">
        <f t="shared" ref="L745:O745" si="330">L746+L747+L749+L751</f>
        <v>208770.3</v>
      </c>
      <c r="M745" s="69">
        <f t="shared" si="330"/>
        <v>88135.900000000009</v>
      </c>
      <c r="N745" s="69">
        <f t="shared" si="330"/>
        <v>0</v>
      </c>
      <c r="O745" s="69">
        <f t="shared" si="330"/>
        <v>0</v>
      </c>
    </row>
    <row r="746" spans="1:15" ht="15.75" x14ac:dyDescent="0.2">
      <c r="A746" s="138"/>
      <c r="B746" s="138"/>
      <c r="C746" s="96" t="s">
        <v>10</v>
      </c>
      <c r="D746" s="69">
        <f t="shared" si="325"/>
        <v>0</v>
      </c>
      <c r="E746" s="69">
        <f t="shared" ref="E746:K746" si="331">E784+E795+E806+E822+E833+E840</f>
        <v>0</v>
      </c>
      <c r="F746" s="69">
        <f t="shared" si="331"/>
        <v>0</v>
      </c>
      <c r="G746" s="69">
        <f t="shared" si="331"/>
        <v>0</v>
      </c>
      <c r="H746" s="69">
        <f t="shared" si="331"/>
        <v>0</v>
      </c>
      <c r="I746" s="69">
        <f t="shared" si="331"/>
        <v>0</v>
      </c>
      <c r="J746" s="69">
        <f t="shared" si="331"/>
        <v>0</v>
      </c>
      <c r="K746" s="69">
        <f t="shared" si="331"/>
        <v>0</v>
      </c>
      <c r="L746" s="69">
        <f>L784+L795+L806+L822+L833+L840</f>
        <v>0</v>
      </c>
      <c r="M746" s="69">
        <f>M784+M795+M806+M822+M833+M840</f>
        <v>0</v>
      </c>
      <c r="N746" s="69">
        <f>N784+N795+N806+N822+N833+N840</f>
        <v>0</v>
      </c>
      <c r="O746" s="69">
        <f>O784+O795+O806+O822+O833+O840</f>
        <v>0</v>
      </c>
    </row>
    <row r="747" spans="1:15" ht="31.5" x14ac:dyDescent="0.2">
      <c r="A747" s="138"/>
      <c r="B747" s="138"/>
      <c r="C747" s="96" t="s">
        <v>69</v>
      </c>
      <c r="D747" s="69">
        <f t="shared" si="325"/>
        <v>905425.9</v>
      </c>
      <c r="E747" s="69">
        <v>0</v>
      </c>
      <c r="F747" s="69">
        <v>0</v>
      </c>
      <c r="G747" s="69">
        <v>0</v>
      </c>
      <c r="H747" s="69">
        <v>0</v>
      </c>
      <c r="I747" s="69">
        <v>50000</v>
      </c>
      <c r="J747" s="69">
        <v>213866.1</v>
      </c>
      <c r="K747" s="69">
        <v>368985.2</v>
      </c>
      <c r="L747" s="69">
        <v>195620.5</v>
      </c>
      <c r="M747" s="69">
        <f>34491.5+42462.6</f>
        <v>76954.100000000006</v>
      </c>
      <c r="N747" s="69">
        <v>0</v>
      </c>
      <c r="O747" s="69">
        <v>0</v>
      </c>
    </row>
    <row r="748" spans="1:15" ht="30" customHeight="1" x14ac:dyDescent="0.2">
      <c r="A748" s="138"/>
      <c r="B748" s="138"/>
      <c r="C748" s="72" t="s">
        <v>81</v>
      </c>
      <c r="D748" s="71">
        <f t="shared" si="325"/>
        <v>11279.3</v>
      </c>
      <c r="E748" s="71">
        <v>0</v>
      </c>
      <c r="F748" s="71">
        <v>0</v>
      </c>
      <c r="G748" s="71">
        <v>0</v>
      </c>
      <c r="H748" s="71">
        <v>0</v>
      </c>
      <c r="I748" s="71">
        <v>0</v>
      </c>
      <c r="J748" s="71">
        <v>0</v>
      </c>
      <c r="K748" s="71">
        <v>0</v>
      </c>
      <c r="L748" s="71">
        <v>0</v>
      </c>
      <c r="M748" s="71">
        <v>11279.3</v>
      </c>
      <c r="N748" s="69">
        <v>0</v>
      </c>
      <c r="O748" s="69">
        <v>0</v>
      </c>
    </row>
    <row r="749" spans="1:15" ht="31.5" x14ac:dyDescent="0.2">
      <c r="A749" s="138"/>
      <c r="B749" s="138"/>
      <c r="C749" s="96" t="s">
        <v>65</v>
      </c>
      <c r="D749" s="69">
        <f t="shared" si="325"/>
        <v>65164.900000000009</v>
      </c>
      <c r="E749" s="69">
        <v>0</v>
      </c>
      <c r="F749" s="69">
        <v>0</v>
      </c>
      <c r="G749" s="69">
        <v>0</v>
      </c>
      <c r="H749" s="69">
        <v>0</v>
      </c>
      <c r="I749" s="69">
        <v>2500</v>
      </c>
      <c r="J749" s="69">
        <v>13651.1</v>
      </c>
      <c r="K749" s="69">
        <v>24682.2</v>
      </c>
      <c r="L749" s="69">
        <f>12486.4+663.4</f>
        <v>13149.8</v>
      </c>
      <c r="M749" s="69">
        <f>1481.6+4723.2+172.7+2710.4+2093.9</f>
        <v>11181.8</v>
      </c>
      <c r="N749" s="69">
        <v>0</v>
      </c>
      <c r="O749" s="69">
        <v>0</v>
      </c>
    </row>
    <row r="750" spans="1:15" ht="30" customHeight="1" x14ac:dyDescent="0.2">
      <c r="A750" s="138"/>
      <c r="B750" s="138"/>
      <c r="C750" s="72" t="s">
        <v>448</v>
      </c>
      <c r="D750" s="71">
        <f t="shared" si="325"/>
        <v>719.9</v>
      </c>
      <c r="E750" s="71">
        <v>0</v>
      </c>
      <c r="F750" s="71">
        <v>0</v>
      </c>
      <c r="G750" s="71">
        <v>0</v>
      </c>
      <c r="H750" s="71">
        <v>0</v>
      </c>
      <c r="I750" s="71">
        <v>0</v>
      </c>
      <c r="J750" s="71">
        <v>0</v>
      </c>
      <c r="K750" s="71">
        <v>0</v>
      </c>
      <c r="L750" s="71">
        <v>0</v>
      </c>
      <c r="M750" s="71">
        <v>719.9</v>
      </c>
      <c r="N750" s="71">
        <v>0</v>
      </c>
      <c r="O750" s="71">
        <v>0</v>
      </c>
    </row>
    <row r="751" spans="1:15" ht="30.75" customHeight="1" x14ac:dyDescent="0.2">
      <c r="A751" s="138"/>
      <c r="B751" s="138"/>
      <c r="C751" s="96" t="s">
        <v>13</v>
      </c>
      <c r="D751" s="69">
        <f t="shared" si="325"/>
        <v>0</v>
      </c>
      <c r="E751" s="69">
        <f>E798+E809+E825+E837+E844</f>
        <v>0</v>
      </c>
      <c r="F751" s="69">
        <f>F798+F809+F825+F837+F844</f>
        <v>0</v>
      </c>
      <c r="G751" s="69">
        <f>G798+G809+G825+G837+G844</f>
        <v>0</v>
      </c>
      <c r="H751" s="69">
        <f>H798+H809+H825+H837+H844</f>
        <v>0</v>
      </c>
      <c r="I751" s="69">
        <f>I798+I809+I825+I837+I844</f>
        <v>0</v>
      </c>
      <c r="J751" s="69">
        <v>0</v>
      </c>
      <c r="K751" s="69">
        <v>0</v>
      </c>
      <c r="L751" s="69">
        <v>0</v>
      </c>
      <c r="M751" s="69">
        <v>0</v>
      </c>
      <c r="N751" s="69">
        <v>0</v>
      </c>
      <c r="O751" s="69">
        <v>0</v>
      </c>
    </row>
    <row r="752" spans="1:15" ht="21" customHeight="1" x14ac:dyDescent="0.2">
      <c r="A752" s="138" t="s">
        <v>357</v>
      </c>
      <c r="B752" s="138" t="s">
        <v>358</v>
      </c>
      <c r="C752" s="96" t="s">
        <v>7</v>
      </c>
      <c r="D752" s="69">
        <f>E752+F752+G752+H752+I752+J752+K752+L752+M752+N752+O752</f>
        <v>600</v>
      </c>
      <c r="E752" s="69">
        <f t="shared" ref="E752:O752" si="332">E753+E754+E755+E756</f>
        <v>0</v>
      </c>
      <c r="F752" s="69">
        <f t="shared" si="332"/>
        <v>0</v>
      </c>
      <c r="G752" s="69">
        <f t="shared" si="332"/>
        <v>0</v>
      </c>
      <c r="H752" s="69">
        <f t="shared" si="332"/>
        <v>0</v>
      </c>
      <c r="I752" s="69">
        <f t="shared" si="332"/>
        <v>0</v>
      </c>
      <c r="J752" s="69">
        <f t="shared" si="332"/>
        <v>600</v>
      </c>
      <c r="K752" s="69">
        <f t="shared" si="332"/>
        <v>0</v>
      </c>
      <c r="L752" s="69">
        <f t="shared" si="332"/>
        <v>0</v>
      </c>
      <c r="M752" s="69">
        <f t="shared" si="332"/>
        <v>0</v>
      </c>
      <c r="N752" s="69">
        <f t="shared" si="332"/>
        <v>0</v>
      </c>
      <c r="O752" s="69">
        <f t="shared" si="332"/>
        <v>0</v>
      </c>
    </row>
    <row r="753" spans="1:19" ht="21" customHeight="1" x14ac:dyDescent="0.2">
      <c r="A753" s="139"/>
      <c r="B753" s="153"/>
      <c r="C753" s="96" t="s">
        <v>10</v>
      </c>
      <c r="D753" s="69">
        <f>E753+F753+G753+H753+I753+J753+K753+L753+M753+N753+O753</f>
        <v>0</v>
      </c>
      <c r="E753" s="69">
        <f>E758</f>
        <v>0</v>
      </c>
      <c r="F753" s="69">
        <f t="shared" ref="F753:K753" si="333">F758</f>
        <v>0</v>
      </c>
      <c r="G753" s="69">
        <f t="shared" si="333"/>
        <v>0</v>
      </c>
      <c r="H753" s="69">
        <f t="shared" si="333"/>
        <v>0</v>
      </c>
      <c r="I753" s="69">
        <f t="shared" si="333"/>
        <v>0</v>
      </c>
      <c r="J753" s="69">
        <f t="shared" si="333"/>
        <v>0</v>
      </c>
      <c r="K753" s="69">
        <f t="shared" si="333"/>
        <v>0</v>
      </c>
      <c r="L753" s="69">
        <f>L789+L800+L811+L827+L838+L845</f>
        <v>0</v>
      </c>
      <c r="M753" s="69">
        <f>M789+M800+M811+M827+M838+M845</f>
        <v>0</v>
      </c>
      <c r="N753" s="69">
        <f>N789+N800+N811+N827+N838+N845</f>
        <v>0</v>
      </c>
      <c r="O753" s="69">
        <f>O789+O800+O811+O827+O838+O845</f>
        <v>0</v>
      </c>
    </row>
    <row r="754" spans="1:19" ht="21" customHeight="1" x14ac:dyDescent="0.2">
      <c r="A754" s="139"/>
      <c r="B754" s="153"/>
      <c r="C754" s="96" t="s">
        <v>11</v>
      </c>
      <c r="D754" s="69">
        <f t="shared" si="325"/>
        <v>0</v>
      </c>
      <c r="E754" s="69">
        <f t="shared" ref="E754:K754" si="334">E759</f>
        <v>0</v>
      </c>
      <c r="F754" s="69">
        <f t="shared" si="334"/>
        <v>0</v>
      </c>
      <c r="G754" s="69">
        <f t="shared" si="334"/>
        <v>0</v>
      </c>
      <c r="H754" s="69">
        <f t="shared" si="334"/>
        <v>0</v>
      </c>
      <c r="I754" s="69">
        <f t="shared" si="334"/>
        <v>0</v>
      </c>
      <c r="J754" s="69">
        <f t="shared" si="334"/>
        <v>0</v>
      </c>
      <c r="K754" s="69">
        <f t="shared" si="334"/>
        <v>0</v>
      </c>
      <c r="L754" s="69">
        <v>0</v>
      </c>
      <c r="M754" s="69">
        <v>0</v>
      </c>
      <c r="N754" s="69">
        <v>0</v>
      </c>
      <c r="O754" s="69">
        <v>0</v>
      </c>
    </row>
    <row r="755" spans="1:19" ht="21" customHeight="1" x14ac:dyDescent="0.2">
      <c r="A755" s="139"/>
      <c r="B755" s="153"/>
      <c r="C755" s="96" t="s">
        <v>12</v>
      </c>
      <c r="D755" s="69">
        <f t="shared" ref="D755:D761" si="335">E755+F755+G755+H755+I755+J755+K755+L755+M755+N755+O755</f>
        <v>600</v>
      </c>
      <c r="E755" s="69">
        <f t="shared" ref="E755:K755" si="336">E760</f>
        <v>0</v>
      </c>
      <c r="F755" s="69">
        <f t="shared" si="336"/>
        <v>0</v>
      </c>
      <c r="G755" s="69">
        <f t="shared" si="336"/>
        <v>0</v>
      </c>
      <c r="H755" s="69">
        <f t="shared" si="336"/>
        <v>0</v>
      </c>
      <c r="I755" s="69">
        <f t="shared" si="336"/>
        <v>0</v>
      </c>
      <c r="J755" s="69">
        <f t="shared" si="336"/>
        <v>600</v>
      </c>
      <c r="K755" s="69">
        <f t="shared" si="336"/>
        <v>0</v>
      </c>
      <c r="L755" s="69">
        <v>0</v>
      </c>
      <c r="M755" s="69">
        <v>0</v>
      </c>
      <c r="N755" s="69">
        <v>0</v>
      </c>
      <c r="O755" s="69">
        <v>0</v>
      </c>
    </row>
    <row r="756" spans="1:19" ht="41.25" customHeight="1" x14ac:dyDescent="0.2">
      <c r="A756" s="139"/>
      <c r="B756" s="153"/>
      <c r="C756" s="96" t="s">
        <v>13</v>
      </c>
      <c r="D756" s="69">
        <f t="shared" si="335"/>
        <v>0</v>
      </c>
      <c r="E756" s="69">
        <f t="shared" ref="E756:K756" si="337">E761</f>
        <v>0</v>
      </c>
      <c r="F756" s="69">
        <f t="shared" si="337"/>
        <v>0</v>
      </c>
      <c r="G756" s="69">
        <f t="shared" si="337"/>
        <v>0</v>
      </c>
      <c r="H756" s="69">
        <f t="shared" si="337"/>
        <v>0</v>
      </c>
      <c r="I756" s="69">
        <f t="shared" si="337"/>
        <v>0</v>
      </c>
      <c r="J756" s="69">
        <f t="shared" si="337"/>
        <v>0</v>
      </c>
      <c r="K756" s="69">
        <f t="shared" si="337"/>
        <v>0</v>
      </c>
      <c r="L756" s="69">
        <v>0</v>
      </c>
      <c r="M756" s="69">
        <v>0</v>
      </c>
      <c r="N756" s="69">
        <v>0</v>
      </c>
      <c r="O756" s="69">
        <v>0</v>
      </c>
    </row>
    <row r="757" spans="1:19" ht="15.75" x14ac:dyDescent="0.2">
      <c r="A757" s="138" t="s">
        <v>359</v>
      </c>
      <c r="B757" s="138" t="s">
        <v>360</v>
      </c>
      <c r="C757" s="96" t="s">
        <v>7</v>
      </c>
      <c r="D757" s="69">
        <f t="shared" si="335"/>
        <v>600</v>
      </c>
      <c r="E757" s="69">
        <f t="shared" ref="E757:O757" si="338">E758+E759+E760+E761</f>
        <v>0</v>
      </c>
      <c r="F757" s="69">
        <f t="shared" si="338"/>
        <v>0</v>
      </c>
      <c r="G757" s="69">
        <f t="shared" si="338"/>
        <v>0</v>
      </c>
      <c r="H757" s="69">
        <f t="shared" si="338"/>
        <v>0</v>
      </c>
      <c r="I757" s="69">
        <f t="shared" si="338"/>
        <v>0</v>
      </c>
      <c r="J757" s="69">
        <f t="shared" si="338"/>
        <v>600</v>
      </c>
      <c r="K757" s="69">
        <f t="shared" si="338"/>
        <v>0</v>
      </c>
      <c r="L757" s="69">
        <f t="shared" si="338"/>
        <v>0</v>
      </c>
      <c r="M757" s="69">
        <f t="shared" si="338"/>
        <v>0</v>
      </c>
      <c r="N757" s="69">
        <f t="shared" si="338"/>
        <v>0</v>
      </c>
      <c r="O757" s="69">
        <f t="shared" si="338"/>
        <v>0</v>
      </c>
    </row>
    <row r="758" spans="1:19" ht="15.75" x14ac:dyDescent="0.2">
      <c r="A758" s="138"/>
      <c r="B758" s="138"/>
      <c r="C758" s="96" t="s">
        <v>10</v>
      </c>
      <c r="D758" s="69">
        <f t="shared" si="335"/>
        <v>0</v>
      </c>
      <c r="E758" s="69">
        <f t="shared" ref="E758:O758" si="339">E795+E805+E816+E832+E843+E850</f>
        <v>0</v>
      </c>
      <c r="F758" s="69">
        <f t="shared" si="339"/>
        <v>0</v>
      </c>
      <c r="G758" s="69">
        <f t="shared" si="339"/>
        <v>0</v>
      </c>
      <c r="H758" s="69">
        <f t="shared" si="339"/>
        <v>0</v>
      </c>
      <c r="I758" s="69">
        <f t="shared" si="339"/>
        <v>0</v>
      </c>
      <c r="J758" s="69">
        <f t="shared" si="339"/>
        <v>0</v>
      </c>
      <c r="K758" s="69">
        <f t="shared" si="339"/>
        <v>0</v>
      </c>
      <c r="L758" s="69">
        <f t="shared" si="339"/>
        <v>0</v>
      </c>
      <c r="M758" s="69">
        <f t="shared" si="339"/>
        <v>0</v>
      </c>
      <c r="N758" s="69">
        <f t="shared" si="339"/>
        <v>0</v>
      </c>
      <c r="O758" s="69">
        <f t="shared" si="339"/>
        <v>0</v>
      </c>
    </row>
    <row r="759" spans="1:19" ht="15.75" x14ac:dyDescent="0.2">
      <c r="A759" s="138"/>
      <c r="B759" s="138"/>
      <c r="C759" s="96" t="s">
        <v>11</v>
      </c>
      <c r="D759" s="69">
        <f t="shared" si="335"/>
        <v>0</v>
      </c>
      <c r="E759" s="69">
        <v>0</v>
      </c>
      <c r="F759" s="69">
        <v>0</v>
      </c>
      <c r="G759" s="69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v>0</v>
      </c>
      <c r="N759" s="69">
        <v>0</v>
      </c>
      <c r="O759" s="69">
        <v>0</v>
      </c>
    </row>
    <row r="760" spans="1:19" ht="15.75" x14ac:dyDescent="0.2">
      <c r="A760" s="138"/>
      <c r="B760" s="138"/>
      <c r="C760" s="96" t="s">
        <v>12</v>
      </c>
      <c r="D760" s="69">
        <f t="shared" si="335"/>
        <v>600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600</v>
      </c>
      <c r="K760" s="69">
        <v>0</v>
      </c>
      <c r="L760" s="69">
        <v>0</v>
      </c>
      <c r="M760" s="69">
        <v>0</v>
      </c>
      <c r="N760" s="69">
        <v>0</v>
      </c>
      <c r="O760" s="69">
        <v>0</v>
      </c>
    </row>
    <row r="761" spans="1:19" ht="24" customHeight="1" x14ac:dyDescent="0.2">
      <c r="A761" s="138"/>
      <c r="B761" s="138"/>
      <c r="C761" s="96" t="s">
        <v>13</v>
      </c>
      <c r="D761" s="69">
        <f t="shared" si="335"/>
        <v>0</v>
      </c>
      <c r="E761" s="69">
        <f>E808+E819+E835+E847+E854</f>
        <v>0</v>
      </c>
      <c r="F761" s="69">
        <f>F808+F819+F835+F847+F854</f>
        <v>0</v>
      </c>
      <c r="G761" s="69">
        <f>G808+G819+G835+G847+G854</f>
        <v>0</v>
      </c>
      <c r="H761" s="69">
        <f>H808+H819+H835+H847+H854</f>
        <v>0</v>
      </c>
      <c r="I761" s="69">
        <f>I808+I819+I835+I847+I854</f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</row>
    <row r="762" spans="1:19" ht="24" customHeight="1" x14ac:dyDescent="0.2">
      <c r="A762" s="138" t="s">
        <v>391</v>
      </c>
      <c r="B762" s="138" t="s">
        <v>393</v>
      </c>
      <c r="C762" s="96" t="s">
        <v>7</v>
      </c>
      <c r="D762" s="69">
        <f>E762+F762+G762+H762+I762+J762+K762+L762+M762+N762+O762</f>
        <v>45258</v>
      </c>
      <c r="E762" s="69">
        <f>E763+E764+E765+E766</f>
        <v>0</v>
      </c>
      <c r="F762" s="69">
        <f t="shared" ref="F762:O762" si="340">F763+F764+F765+F766</f>
        <v>0</v>
      </c>
      <c r="G762" s="69">
        <f t="shared" si="340"/>
        <v>0</v>
      </c>
      <c r="H762" s="69">
        <f t="shared" si="340"/>
        <v>0</v>
      </c>
      <c r="I762" s="69">
        <f t="shared" si="340"/>
        <v>0</v>
      </c>
      <c r="J762" s="69">
        <f t="shared" si="340"/>
        <v>0</v>
      </c>
      <c r="K762" s="69">
        <f t="shared" si="340"/>
        <v>13798.2</v>
      </c>
      <c r="L762" s="69">
        <f t="shared" si="340"/>
        <v>5613</v>
      </c>
      <c r="M762" s="69">
        <f t="shared" si="340"/>
        <v>25846.800000000003</v>
      </c>
      <c r="N762" s="69">
        <f t="shared" si="340"/>
        <v>0</v>
      </c>
      <c r="O762" s="69">
        <f t="shared" si="340"/>
        <v>0</v>
      </c>
    </row>
    <row r="763" spans="1:19" ht="24" customHeight="1" x14ac:dyDescent="0.2">
      <c r="A763" s="139"/>
      <c r="B763" s="153"/>
      <c r="C763" s="96" t="s">
        <v>10</v>
      </c>
      <c r="D763" s="69">
        <f t="shared" ref="D763:D771" si="341">E763+F763+G763+H763+I763+J763+K763+L763+M763+N763+O763</f>
        <v>0</v>
      </c>
      <c r="E763" s="69">
        <f t="shared" ref="E763:I763" si="342">E800+E810+E821+E837+E848+E855</f>
        <v>0</v>
      </c>
      <c r="F763" s="69">
        <f t="shared" si="342"/>
        <v>0</v>
      </c>
      <c r="G763" s="69">
        <f t="shared" si="342"/>
        <v>0</v>
      </c>
      <c r="H763" s="69">
        <f t="shared" si="342"/>
        <v>0</v>
      </c>
      <c r="I763" s="69">
        <f t="shared" si="342"/>
        <v>0</v>
      </c>
      <c r="J763" s="69">
        <v>0</v>
      </c>
      <c r="K763" s="69">
        <f t="shared" ref="K763:O763" si="343">K800+K810+K821+K837+K848+K855</f>
        <v>0</v>
      </c>
      <c r="L763" s="69">
        <f t="shared" si="343"/>
        <v>0</v>
      </c>
      <c r="M763" s="69">
        <f t="shared" si="343"/>
        <v>0</v>
      </c>
      <c r="N763" s="69">
        <f t="shared" si="343"/>
        <v>0</v>
      </c>
      <c r="O763" s="69">
        <f t="shared" si="343"/>
        <v>0</v>
      </c>
    </row>
    <row r="764" spans="1:19" ht="24" customHeight="1" x14ac:dyDescent="0.2">
      <c r="A764" s="139"/>
      <c r="B764" s="153"/>
      <c r="C764" s="96" t="s">
        <v>11</v>
      </c>
      <c r="D764" s="69">
        <f t="shared" si="341"/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</row>
    <row r="765" spans="1:19" ht="24" customHeight="1" x14ac:dyDescent="0.2">
      <c r="A765" s="139"/>
      <c r="B765" s="153"/>
      <c r="C765" s="96" t="s">
        <v>12</v>
      </c>
      <c r="D765" s="69">
        <f t="shared" si="341"/>
        <v>45258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f>J770</f>
        <v>0</v>
      </c>
      <c r="K765" s="69">
        <f>K770</f>
        <v>13798.2</v>
      </c>
      <c r="L765" s="69">
        <f>L770+L775</f>
        <v>5613</v>
      </c>
      <c r="M765" s="69">
        <f t="shared" ref="M765:S765" si="344">M770+M775</f>
        <v>25846.800000000003</v>
      </c>
      <c r="N765" s="69">
        <f t="shared" si="344"/>
        <v>0</v>
      </c>
      <c r="O765" s="69">
        <f t="shared" si="344"/>
        <v>0</v>
      </c>
      <c r="P765" s="69">
        <f t="shared" si="344"/>
        <v>0</v>
      </c>
      <c r="Q765" s="69">
        <f t="shared" si="344"/>
        <v>0</v>
      </c>
      <c r="R765" s="69">
        <f t="shared" si="344"/>
        <v>0</v>
      </c>
      <c r="S765" s="69">
        <f t="shared" si="344"/>
        <v>0</v>
      </c>
    </row>
    <row r="766" spans="1:19" ht="24" customHeight="1" x14ac:dyDescent="0.2">
      <c r="A766" s="139"/>
      <c r="B766" s="153"/>
      <c r="C766" s="96" t="s">
        <v>13</v>
      </c>
      <c r="D766" s="69">
        <f t="shared" si="341"/>
        <v>0</v>
      </c>
      <c r="E766" s="69">
        <f>E813+E824+E840+E852+E859</f>
        <v>0</v>
      </c>
      <c r="F766" s="69">
        <f>F813+F824+F840+F852+F859</f>
        <v>0</v>
      </c>
      <c r="G766" s="69">
        <f>G813+G824+G840+G852+G859</f>
        <v>0</v>
      </c>
      <c r="H766" s="69">
        <f>H813+H824+H840+H852+H859</f>
        <v>0</v>
      </c>
      <c r="I766" s="69">
        <f>I813+I824+I840+I852+I859</f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</row>
    <row r="767" spans="1:19" ht="24" customHeight="1" x14ac:dyDescent="0.2">
      <c r="A767" s="138" t="s">
        <v>392</v>
      </c>
      <c r="B767" s="138" t="s">
        <v>394</v>
      </c>
      <c r="C767" s="96" t="s">
        <v>7</v>
      </c>
      <c r="D767" s="69">
        <f t="shared" ref="D767:N767" si="345">D768+D769+D770+D771</f>
        <v>37617.100000000006</v>
      </c>
      <c r="E767" s="69">
        <f t="shared" si="345"/>
        <v>0</v>
      </c>
      <c r="F767" s="69">
        <f t="shared" si="345"/>
        <v>0</v>
      </c>
      <c r="G767" s="69">
        <f t="shared" si="345"/>
        <v>0</v>
      </c>
      <c r="H767" s="69">
        <f t="shared" si="345"/>
        <v>0</v>
      </c>
      <c r="I767" s="69">
        <f t="shared" si="345"/>
        <v>0</v>
      </c>
      <c r="J767" s="69">
        <f t="shared" si="345"/>
        <v>0</v>
      </c>
      <c r="K767" s="69">
        <f t="shared" si="345"/>
        <v>13798.2</v>
      </c>
      <c r="L767" s="69">
        <f t="shared" si="345"/>
        <v>598</v>
      </c>
      <c r="M767" s="69">
        <f t="shared" si="345"/>
        <v>23220.9</v>
      </c>
      <c r="N767" s="69">
        <f t="shared" si="345"/>
        <v>0</v>
      </c>
      <c r="O767" s="69"/>
    </row>
    <row r="768" spans="1:19" ht="24" customHeight="1" x14ac:dyDescent="0.2">
      <c r="A768" s="138"/>
      <c r="B768" s="138"/>
      <c r="C768" s="96" t="s">
        <v>10</v>
      </c>
      <c r="D768" s="69">
        <f>E768+F768+G768+H768+I768+J768+K768+L768+M768+N768+O768</f>
        <v>0</v>
      </c>
      <c r="E768" s="69">
        <f t="shared" ref="E768:I768" si="346">E805+E815+E826+E842+E853+E860</f>
        <v>0</v>
      </c>
      <c r="F768" s="69">
        <f t="shared" si="346"/>
        <v>0</v>
      </c>
      <c r="G768" s="69">
        <f t="shared" si="346"/>
        <v>0</v>
      </c>
      <c r="H768" s="69">
        <f t="shared" si="346"/>
        <v>0</v>
      </c>
      <c r="I768" s="69">
        <f t="shared" si="346"/>
        <v>0</v>
      </c>
      <c r="J768" s="69">
        <v>0</v>
      </c>
      <c r="K768" s="69">
        <f t="shared" ref="K768:O768" si="347">K805+K815+K826+K842+K853+K860</f>
        <v>0</v>
      </c>
      <c r="L768" s="69">
        <f t="shared" si="347"/>
        <v>0</v>
      </c>
      <c r="M768" s="69">
        <f t="shared" si="347"/>
        <v>0</v>
      </c>
      <c r="N768" s="69">
        <f t="shared" si="347"/>
        <v>0</v>
      </c>
      <c r="O768" s="69">
        <f t="shared" si="347"/>
        <v>0</v>
      </c>
    </row>
    <row r="769" spans="1:17" ht="24" customHeight="1" x14ac:dyDescent="0.2">
      <c r="A769" s="138"/>
      <c r="B769" s="138"/>
      <c r="C769" s="96" t="s">
        <v>11</v>
      </c>
      <c r="D769" s="69">
        <f t="shared" si="341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</row>
    <row r="770" spans="1:17" ht="24" customHeight="1" x14ac:dyDescent="0.2">
      <c r="A770" s="138"/>
      <c r="B770" s="138"/>
      <c r="C770" s="96" t="s">
        <v>12</v>
      </c>
      <c r="D770" s="69">
        <f t="shared" si="341"/>
        <v>37617.100000000006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f>19000-5201.8+71.4-71.4</f>
        <v>13798.2</v>
      </c>
      <c r="L770" s="69">
        <f>700+8000-8000-102</f>
        <v>598</v>
      </c>
      <c r="M770" s="57">
        <f>0+3962.4+19258.5</f>
        <v>23220.9</v>
      </c>
      <c r="N770" s="69">
        <v>0</v>
      </c>
      <c r="O770" s="69">
        <v>0</v>
      </c>
    </row>
    <row r="771" spans="1:17" ht="24" customHeight="1" x14ac:dyDescent="0.2">
      <c r="A771" s="138"/>
      <c r="B771" s="138"/>
      <c r="C771" s="96" t="s">
        <v>13</v>
      </c>
      <c r="D771" s="69">
        <f t="shared" si="341"/>
        <v>0</v>
      </c>
      <c r="E771" s="69">
        <f>E818+E829+E845+E857+E864</f>
        <v>0</v>
      </c>
      <c r="F771" s="69">
        <f>F818+F829+F845+F857+F864</f>
        <v>0</v>
      </c>
      <c r="G771" s="69">
        <f>G818+G829+G845+G857+G864</f>
        <v>0</v>
      </c>
      <c r="H771" s="69">
        <f>H818+H829+H845+H857+H864</f>
        <v>0</v>
      </c>
      <c r="I771" s="69">
        <f>I818+I829+I845+I857+I864</f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</row>
    <row r="772" spans="1:17" ht="24" customHeight="1" x14ac:dyDescent="0.2">
      <c r="A772" s="138" t="s">
        <v>415</v>
      </c>
      <c r="B772" s="147" t="s">
        <v>416</v>
      </c>
      <c r="C772" s="96" t="s">
        <v>7</v>
      </c>
      <c r="D772" s="69">
        <f t="shared" ref="D772:N772" si="348">D773+D774+D775+D776</f>
        <v>7640.9</v>
      </c>
      <c r="E772" s="69">
        <f t="shared" si="348"/>
        <v>0</v>
      </c>
      <c r="F772" s="69">
        <f t="shared" si="348"/>
        <v>0</v>
      </c>
      <c r="G772" s="69">
        <f t="shared" si="348"/>
        <v>0</v>
      </c>
      <c r="H772" s="69">
        <f t="shared" si="348"/>
        <v>0</v>
      </c>
      <c r="I772" s="69">
        <f t="shared" si="348"/>
        <v>0</v>
      </c>
      <c r="J772" s="69">
        <f t="shared" si="348"/>
        <v>0</v>
      </c>
      <c r="K772" s="69">
        <f t="shared" si="348"/>
        <v>0</v>
      </c>
      <c r="L772" s="69">
        <f t="shared" si="348"/>
        <v>5015</v>
      </c>
      <c r="M772" s="69">
        <f t="shared" si="348"/>
        <v>2625.8999999999996</v>
      </c>
      <c r="N772" s="69">
        <f t="shared" si="348"/>
        <v>0</v>
      </c>
      <c r="O772" s="69"/>
    </row>
    <row r="773" spans="1:17" ht="24" customHeight="1" x14ac:dyDescent="0.2">
      <c r="A773" s="138"/>
      <c r="B773" s="147"/>
      <c r="C773" s="96" t="s">
        <v>10</v>
      </c>
      <c r="D773" s="69">
        <f>E773+F773+G773+H773+I773+J773+K773+L773+M773+N773+O773</f>
        <v>0</v>
      </c>
      <c r="E773" s="69">
        <f t="shared" ref="E773:I773" si="349">E810+E820+E831+E847+E858+E865</f>
        <v>0</v>
      </c>
      <c r="F773" s="69">
        <f t="shared" si="349"/>
        <v>0</v>
      </c>
      <c r="G773" s="69">
        <f t="shared" si="349"/>
        <v>0</v>
      </c>
      <c r="H773" s="69">
        <f t="shared" si="349"/>
        <v>0</v>
      </c>
      <c r="I773" s="69">
        <f t="shared" si="349"/>
        <v>0</v>
      </c>
      <c r="J773" s="69">
        <v>0</v>
      </c>
      <c r="K773" s="69">
        <f t="shared" ref="K773:O773" si="350">K810+K820+K831+K847+K858+K865</f>
        <v>0</v>
      </c>
      <c r="L773" s="69">
        <f t="shared" si="350"/>
        <v>0</v>
      </c>
      <c r="M773" s="69">
        <f t="shared" si="350"/>
        <v>0</v>
      </c>
      <c r="N773" s="69">
        <f t="shared" si="350"/>
        <v>0</v>
      </c>
      <c r="O773" s="69">
        <f t="shared" si="350"/>
        <v>0</v>
      </c>
    </row>
    <row r="774" spans="1:17" ht="24" customHeight="1" x14ac:dyDescent="0.2">
      <c r="A774" s="138"/>
      <c r="B774" s="147"/>
      <c r="C774" s="96" t="s">
        <v>11</v>
      </c>
      <c r="D774" s="69">
        <f t="shared" ref="D774:D776" si="351">E774+F774+G774+H774+I774+J774+K774+L774+M774+N774+O774</f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</row>
    <row r="775" spans="1:17" ht="24" customHeight="1" x14ac:dyDescent="0.2">
      <c r="A775" s="138"/>
      <c r="B775" s="147"/>
      <c r="C775" s="96" t="s">
        <v>12</v>
      </c>
      <c r="D775" s="69">
        <f t="shared" si="351"/>
        <v>7640.9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v>0</v>
      </c>
      <c r="L775" s="69">
        <f>2484.5+2515.5+15</f>
        <v>5015</v>
      </c>
      <c r="M775" s="69">
        <f>1435.1+1190.8</f>
        <v>2625.8999999999996</v>
      </c>
      <c r="N775" s="69">
        <v>0</v>
      </c>
      <c r="O775" s="69">
        <v>0</v>
      </c>
    </row>
    <row r="776" spans="1:17" ht="24" customHeight="1" x14ac:dyDescent="0.2">
      <c r="A776" s="138"/>
      <c r="B776" s="147"/>
      <c r="C776" s="96" t="s">
        <v>13</v>
      </c>
      <c r="D776" s="69">
        <f t="shared" si="351"/>
        <v>0</v>
      </c>
      <c r="E776" s="69">
        <f>E823+E834+E850+E862+E869</f>
        <v>0</v>
      </c>
      <c r="F776" s="69">
        <f>F823+F834+F850+F862+F869</f>
        <v>0</v>
      </c>
      <c r="G776" s="69">
        <f>G823+G834+G850+G862+G869</f>
        <v>0</v>
      </c>
      <c r="H776" s="69">
        <f>H823+H834+H850+H862+H869</f>
        <v>0</v>
      </c>
      <c r="I776" s="69">
        <f>I823+I834+I850+I862+I869</f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</row>
    <row r="777" spans="1:17" ht="15.75" x14ac:dyDescent="0.2">
      <c r="A777" s="149" t="s">
        <v>42</v>
      </c>
      <c r="B777" s="159" t="s">
        <v>327</v>
      </c>
      <c r="C777" s="73" t="s">
        <v>7</v>
      </c>
      <c r="D777" s="66">
        <f t="shared" si="325"/>
        <v>584661.07500000007</v>
      </c>
      <c r="E777" s="66">
        <f t="shared" ref="E777:O777" si="352">E780+E778+E779+E781</f>
        <v>31873.5</v>
      </c>
      <c r="F777" s="66">
        <f t="shared" si="352"/>
        <v>32215.200000000001</v>
      </c>
      <c r="G777" s="66">
        <f t="shared" si="352"/>
        <v>32536.1</v>
      </c>
      <c r="H777" s="66">
        <f t="shared" si="352"/>
        <v>34467.4</v>
      </c>
      <c r="I777" s="66">
        <f t="shared" si="352"/>
        <v>42249.1</v>
      </c>
      <c r="J777" s="66">
        <f t="shared" si="352"/>
        <v>51925.4</v>
      </c>
      <c r="K777" s="66">
        <f t="shared" si="352"/>
        <v>66037.599999999991</v>
      </c>
      <c r="L777" s="66">
        <f t="shared" si="352"/>
        <v>68745.7</v>
      </c>
      <c r="M777" s="66">
        <f t="shared" si="352"/>
        <v>71951.274999999994</v>
      </c>
      <c r="N777" s="66">
        <f t="shared" si="352"/>
        <v>74615.900000000009</v>
      </c>
      <c r="O777" s="66">
        <f t="shared" si="352"/>
        <v>78043.900000000009</v>
      </c>
      <c r="P777" s="60">
        <f>D778+D779+D780+D781</f>
        <v>584661.07500000007</v>
      </c>
      <c r="Q777" s="60"/>
    </row>
    <row r="778" spans="1:17" ht="19.5" customHeight="1" x14ac:dyDescent="0.2">
      <c r="A778" s="149"/>
      <c r="B778" s="159"/>
      <c r="C778" s="101" t="s">
        <v>10</v>
      </c>
      <c r="D778" s="69">
        <f t="shared" si="325"/>
        <v>0</v>
      </c>
      <c r="E778" s="69">
        <f t="shared" ref="E778:K781" si="353">E783</f>
        <v>0</v>
      </c>
      <c r="F778" s="69">
        <f t="shared" si="353"/>
        <v>0</v>
      </c>
      <c r="G778" s="69">
        <f t="shared" si="353"/>
        <v>0</v>
      </c>
      <c r="H778" s="69">
        <f t="shared" si="353"/>
        <v>0</v>
      </c>
      <c r="I778" s="69">
        <f t="shared" si="353"/>
        <v>0</v>
      </c>
      <c r="J778" s="69">
        <f t="shared" si="353"/>
        <v>0</v>
      </c>
      <c r="K778" s="69">
        <f t="shared" si="353"/>
        <v>0</v>
      </c>
      <c r="L778" s="69">
        <f t="shared" ref="L778:O779" si="354">L783</f>
        <v>0</v>
      </c>
      <c r="M778" s="69">
        <f t="shared" si="354"/>
        <v>0</v>
      </c>
      <c r="N778" s="69">
        <f t="shared" si="354"/>
        <v>0</v>
      </c>
      <c r="O778" s="69">
        <f t="shared" si="354"/>
        <v>0</v>
      </c>
    </row>
    <row r="779" spans="1:17" ht="16.5" customHeight="1" x14ac:dyDescent="0.2">
      <c r="A779" s="149"/>
      <c r="B779" s="159"/>
      <c r="C779" s="101" t="s">
        <v>11</v>
      </c>
      <c r="D779" s="69">
        <f t="shared" si="325"/>
        <v>0</v>
      </c>
      <c r="E779" s="69">
        <f t="shared" si="353"/>
        <v>0</v>
      </c>
      <c r="F779" s="69">
        <f t="shared" si="353"/>
        <v>0</v>
      </c>
      <c r="G779" s="69">
        <f t="shared" si="353"/>
        <v>0</v>
      </c>
      <c r="H779" s="69">
        <f t="shared" si="353"/>
        <v>0</v>
      </c>
      <c r="I779" s="69">
        <f t="shared" si="353"/>
        <v>0</v>
      </c>
      <c r="J779" s="69">
        <f>J784</f>
        <v>0</v>
      </c>
      <c r="K779" s="69">
        <f>K784</f>
        <v>0</v>
      </c>
      <c r="L779" s="69">
        <f t="shared" si="354"/>
        <v>0</v>
      </c>
      <c r="M779" s="69">
        <f t="shared" si="354"/>
        <v>0</v>
      </c>
      <c r="N779" s="69">
        <f t="shared" si="354"/>
        <v>0</v>
      </c>
      <c r="O779" s="69">
        <f t="shared" si="354"/>
        <v>0</v>
      </c>
    </row>
    <row r="780" spans="1:17" ht="15" customHeight="1" x14ac:dyDescent="0.2">
      <c r="A780" s="149"/>
      <c r="B780" s="159"/>
      <c r="C780" s="101" t="s">
        <v>12</v>
      </c>
      <c r="D780" s="69">
        <f t="shared" si="325"/>
        <v>584661.07500000007</v>
      </c>
      <c r="E780" s="69">
        <f>E785</f>
        <v>31873.5</v>
      </c>
      <c r="F780" s="69">
        <f t="shared" si="353"/>
        <v>32215.200000000001</v>
      </c>
      <c r="G780" s="69">
        <f>G782</f>
        <v>32536.1</v>
      </c>
      <c r="H780" s="69">
        <f>H782</f>
        <v>34467.4</v>
      </c>
      <c r="I780" s="69">
        <f>I782</f>
        <v>42249.1</v>
      </c>
      <c r="J780" s="69">
        <f t="shared" ref="J780:M780" si="355">J785</f>
        <v>51925.4</v>
      </c>
      <c r="K780" s="69">
        <f t="shared" si="355"/>
        <v>66037.599999999991</v>
      </c>
      <c r="L780" s="69">
        <f t="shared" si="355"/>
        <v>68745.7</v>
      </c>
      <c r="M780" s="69">
        <f t="shared" si="355"/>
        <v>71951.274999999994</v>
      </c>
      <c r="N780" s="69">
        <f>N785</f>
        <v>74615.900000000009</v>
      </c>
      <c r="O780" s="69">
        <f>O785</f>
        <v>78043.900000000009</v>
      </c>
    </row>
    <row r="781" spans="1:17" s="88" customFormat="1" ht="45" customHeight="1" x14ac:dyDescent="0.25">
      <c r="A781" s="149"/>
      <c r="B781" s="159"/>
      <c r="C781" s="101" t="s">
        <v>13</v>
      </c>
      <c r="D781" s="69">
        <f t="shared" si="325"/>
        <v>0</v>
      </c>
      <c r="E781" s="69">
        <f t="shared" si="353"/>
        <v>0</v>
      </c>
      <c r="F781" s="69">
        <f t="shared" si="353"/>
        <v>0</v>
      </c>
      <c r="G781" s="69">
        <f t="shared" si="353"/>
        <v>0</v>
      </c>
      <c r="H781" s="69">
        <f t="shared" si="353"/>
        <v>0</v>
      </c>
      <c r="I781" s="69">
        <f t="shared" si="353"/>
        <v>0</v>
      </c>
      <c r="J781" s="69">
        <f t="shared" ref="J781:O781" si="356">J786</f>
        <v>0</v>
      </c>
      <c r="K781" s="69">
        <f t="shared" si="356"/>
        <v>0</v>
      </c>
      <c r="L781" s="69">
        <f t="shared" si="356"/>
        <v>0</v>
      </c>
      <c r="M781" s="69">
        <f t="shared" si="356"/>
        <v>0</v>
      </c>
      <c r="N781" s="69">
        <f t="shared" si="356"/>
        <v>0</v>
      </c>
      <c r="O781" s="69">
        <f t="shared" si="356"/>
        <v>0</v>
      </c>
    </row>
    <row r="782" spans="1:17" ht="15.75" customHeight="1" x14ac:dyDescent="0.2">
      <c r="A782" s="138" t="s">
        <v>334</v>
      </c>
      <c r="B782" s="147" t="s">
        <v>144</v>
      </c>
      <c r="C782" s="101" t="s">
        <v>7</v>
      </c>
      <c r="D782" s="69">
        <f t="shared" si="325"/>
        <v>584661.07500000007</v>
      </c>
      <c r="E782" s="69">
        <f t="shared" ref="E782:O782" si="357">SUM(E783:E786)</f>
        <v>31873.5</v>
      </c>
      <c r="F782" s="69">
        <f t="shared" si="357"/>
        <v>32215.200000000001</v>
      </c>
      <c r="G782" s="69">
        <f t="shared" si="357"/>
        <v>32536.1</v>
      </c>
      <c r="H782" s="69">
        <f t="shared" si="357"/>
        <v>34467.4</v>
      </c>
      <c r="I782" s="69">
        <f t="shared" si="357"/>
        <v>42249.1</v>
      </c>
      <c r="J782" s="69">
        <f t="shared" si="357"/>
        <v>51925.4</v>
      </c>
      <c r="K782" s="69">
        <f t="shared" si="357"/>
        <v>66037.599999999991</v>
      </c>
      <c r="L782" s="69">
        <f t="shared" si="357"/>
        <v>68745.7</v>
      </c>
      <c r="M782" s="69">
        <f t="shared" si="357"/>
        <v>71951.274999999994</v>
      </c>
      <c r="N782" s="69">
        <f t="shared" si="357"/>
        <v>74615.900000000009</v>
      </c>
      <c r="O782" s="69">
        <f t="shared" si="357"/>
        <v>78043.900000000009</v>
      </c>
    </row>
    <row r="783" spans="1:17" ht="17.25" customHeight="1" x14ac:dyDescent="0.2">
      <c r="A783" s="138"/>
      <c r="B783" s="147"/>
      <c r="C783" s="101" t="s">
        <v>10</v>
      </c>
      <c r="D783" s="69">
        <f t="shared" si="325"/>
        <v>0</v>
      </c>
      <c r="E783" s="69">
        <v>0</v>
      </c>
      <c r="F783" s="69">
        <v>0</v>
      </c>
      <c r="G783" s="69">
        <v>0</v>
      </c>
      <c r="H783" s="69">
        <v>0</v>
      </c>
      <c r="I783" s="69">
        <v>0</v>
      </c>
      <c r="J783" s="69">
        <v>0</v>
      </c>
      <c r="K783" s="69">
        <v>0</v>
      </c>
      <c r="L783" s="69">
        <v>0</v>
      </c>
      <c r="M783" s="69">
        <v>0</v>
      </c>
      <c r="N783" s="69">
        <v>0</v>
      </c>
      <c r="O783" s="69">
        <v>0</v>
      </c>
    </row>
    <row r="784" spans="1:17" ht="18" customHeight="1" x14ac:dyDescent="0.2">
      <c r="A784" s="138"/>
      <c r="B784" s="147"/>
      <c r="C784" s="101" t="s">
        <v>11</v>
      </c>
      <c r="D784" s="69">
        <f t="shared" si="325"/>
        <v>0</v>
      </c>
      <c r="E784" s="69">
        <v>0</v>
      </c>
      <c r="F784" s="69">
        <v>0</v>
      </c>
      <c r="G784" s="69">
        <v>0</v>
      </c>
      <c r="H784" s="69">
        <v>0</v>
      </c>
      <c r="I784" s="69">
        <v>0</v>
      </c>
      <c r="J784" s="69">
        <v>0</v>
      </c>
      <c r="K784" s="69">
        <v>0</v>
      </c>
      <c r="L784" s="69">
        <v>0</v>
      </c>
      <c r="M784" s="69">
        <v>0</v>
      </c>
      <c r="N784" s="69">
        <v>0</v>
      </c>
      <c r="O784" s="69">
        <v>0</v>
      </c>
    </row>
    <row r="785" spans="1:15" ht="18" customHeight="1" x14ac:dyDescent="0.2">
      <c r="A785" s="138"/>
      <c r="B785" s="147"/>
      <c r="C785" s="101" t="s">
        <v>12</v>
      </c>
      <c r="D785" s="69">
        <f t="shared" si="325"/>
        <v>584661.07500000007</v>
      </c>
      <c r="E785" s="69">
        <f>E790</f>
        <v>31873.5</v>
      </c>
      <c r="F785" s="69">
        <f>F790</f>
        <v>32215.200000000001</v>
      </c>
      <c r="G785" s="69">
        <f>G790</f>
        <v>32536.1</v>
      </c>
      <c r="H785" s="69">
        <f t="shared" ref="H785:O785" si="358">H790</f>
        <v>34467.4</v>
      </c>
      <c r="I785" s="69">
        <f t="shared" si="358"/>
        <v>42249.1</v>
      </c>
      <c r="J785" s="69">
        <f t="shared" si="358"/>
        <v>51925.4</v>
      </c>
      <c r="K785" s="69">
        <f t="shared" si="358"/>
        <v>66037.599999999991</v>
      </c>
      <c r="L785" s="69">
        <f t="shared" si="358"/>
        <v>68745.7</v>
      </c>
      <c r="M785" s="69">
        <f t="shared" si="358"/>
        <v>71951.274999999994</v>
      </c>
      <c r="N785" s="69">
        <f t="shared" si="358"/>
        <v>74615.900000000009</v>
      </c>
      <c r="O785" s="69">
        <f t="shared" si="358"/>
        <v>78043.900000000009</v>
      </c>
    </row>
    <row r="786" spans="1:15" ht="15.75" customHeight="1" x14ac:dyDescent="0.2">
      <c r="A786" s="138"/>
      <c r="B786" s="147"/>
      <c r="C786" s="101" t="s">
        <v>13</v>
      </c>
      <c r="D786" s="69">
        <f t="shared" si="325"/>
        <v>0</v>
      </c>
      <c r="E786" s="69">
        <v>0</v>
      </c>
      <c r="F786" s="69">
        <v>0</v>
      </c>
      <c r="G786" s="69">
        <v>0</v>
      </c>
      <c r="H786" s="69">
        <v>0</v>
      </c>
      <c r="I786" s="69">
        <v>0</v>
      </c>
      <c r="J786" s="69">
        <v>0</v>
      </c>
      <c r="K786" s="69">
        <v>0</v>
      </c>
      <c r="L786" s="69">
        <v>0</v>
      </c>
      <c r="M786" s="69">
        <v>0</v>
      </c>
      <c r="N786" s="69">
        <v>0</v>
      </c>
      <c r="O786" s="69">
        <v>0</v>
      </c>
    </row>
    <row r="787" spans="1:15" ht="15.75" x14ac:dyDescent="0.2">
      <c r="A787" s="138" t="s">
        <v>143</v>
      </c>
      <c r="B787" s="147" t="s">
        <v>56</v>
      </c>
      <c r="C787" s="101" t="s">
        <v>7</v>
      </c>
      <c r="D787" s="69">
        <f t="shared" si="325"/>
        <v>584661.07500000007</v>
      </c>
      <c r="E787" s="69">
        <f t="shared" ref="E787:O787" si="359">SUM(E788:E791)</f>
        <v>31873.5</v>
      </c>
      <c r="F787" s="69">
        <f t="shared" si="359"/>
        <v>32215.200000000001</v>
      </c>
      <c r="G787" s="69">
        <f t="shared" si="359"/>
        <v>32536.1</v>
      </c>
      <c r="H787" s="69">
        <f t="shared" si="359"/>
        <v>34467.4</v>
      </c>
      <c r="I787" s="69">
        <f t="shared" si="359"/>
        <v>42249.1</v>
      </c>
      <c r="J787" s="69">
        <f t="shared" si="359"/>
        <v>51925.4</v>
      </c>
      <c r="K787" s="69">
        <f t="shared" si="359"/>
        <v>66037.599999999991</v>
      </c>
      <c r="L787" s="69">
        <f t="shared" si="359"/>
        <v>68745.7</v>
      </c>
      <c r="M787" s="69">
        <f t="shared" si="359"/>
        <v>71951.274999999994</v>
      </c>
      <c r="N787" s="69">
        <f t="shared" si="359"/>
        <v>74615.900000000009</v>
      </c>
      <c r="O787" s="69">
        <f t="shared" si="359"/>
        <v>78043.900000000009</v>
      </c>
    </row>
    <row r="788" spans="1:15" ht="15.75" x14ac:dyDescent="0.2">
      <c r="A788" s="138"/>
      <c r="B788" s="147"/>
      <c r="C788" s="101" t="s">
        <v>10</v>
      </c>
      <c r="D788" s="69">
        <f t="shared" si="325"/>
        <v>0</v>
      </c>
      <c r="E788" s="69">
        <v>0</v>
      </c>
      <c r="F788" s="69">
        <v>0</v>
      </c>
      <c r="G788" s="69">
        <v>0</v>
      </c>
      <c r="H788" s="69">
        <v>0</v>
      </c>
      <c r="I788" s="69">
        <v>0</v>
      </c>
      <c r="J788" s="69">
        <v>0</v>
      </c>
      <c r="K788" s="69">
        <v>0</v>
      </c>
      <c r="L788" s="69">
        <v>0</v>
      </c>
      <c r="M788" s="69">
        <v>0</v>
      </c>
      <c r="N788" s="69">
        <v>0</v>
      </c>
      <c r="O788" s="69">
        <v>0</v>
      </c>
    </row>
    <row r="789" spans="1:15" ht="15.75" x14ac:dyDescent="0.2">
      <c r="A789" s="138"/>
      <c r="B789" s="147"/>
      <c r="C789" s="101" t="s">
        <v>11</v>
      </c>
      <c r="D789" s="69">
        <f t="shared" si="325"/>
        <v>0</v>
      </c>
      <c r="E789" s="69">
        <v>0</v>
      </c>
      <c r="F789" s="69">
        <v>0</v>
      </c>
      <c r="G789" s="69">
        <v>0</v>
      </c>
      <c r="H789" s="69">
        <v>0</v>
      </c>
      <c r="I789" s="69">
        <v>0</v>
      </c>
      <c r="J789" s="69">
        <v>0</v>
      </c>
      <c r="K789" s="69">
        <v>0</v>
      </c>
      <c r="L789" s="69">
        <v>0</v>
      </c>
      <c r="M789" s="69">
        <v>0</v>
      </c>
      <c r="N789" s="69">
        <v>0</v>
      </c>
      <c r="O789" s="69">
        <v>0</v>
      </c>
    </row>
    <row r="790" spans="1:15" ht="15.75" x14ac:dyDescent="0.2">
      <c r="A790" s="138"/>
      <c r="B790" s="147"/>
      <c r="C790" s="101" t="s">
        <v>12</v>
      </c>
      <c r="D790" s="69">
        <f t="shared" si="325"/>
        <v>584661.07500000007</v>
      </c>
      <c r="E790" s="69">
        <v>31873.5</v>
      </c>
      <c r="F790" s="69">
        <v>32215.200000000001</v>
      </c>
      <c r="G790" s="69">
        <v>32536.1</v>
      </c>
      <c r="H790" s="69">
        <v>34467.4</v>
      </c>
      <c r="I790" s="69">
        <f>41599.1+650</f>
        <v>42249.1</v>
      </c>
      <c r="J790" s="69">
        <f>42649.1+750.8+7821.5+406.1+218.1+79.8</f>
        <v>51925.4</v>
      </c>
      <c r="K790" s="69">
        <f>57248.6+400.1+8388.9</f>
        <v>66037.599999999991</v>
      </c>
      <c r="L790" s="69">
        <f>67673.6+671.4-0.1+56.6+181.4+400-400-56.6-181.4-600+600+163+135.8+102</f>
        <v>68745.7</v>
      </c>
      <c r="M790" s="69">
        <f>70380+663.1+70.8+258.275+579.2-841.1+841.1-0.1</f>
        <v>71951.274999999994</v>
      </c>
      <c r="N790" s="69">
        <f>73150.6+1465.3</f>
        <v>74615.900000000009</v>
      </c>
      <c r="O790" s="69">
        <f>73150.6+4893.3</f>
        <v>78043.900000000009</v>
      </c>
    </row>
    <row r="791" spans="1:15" ht="21.75" customHeight="1" x14ac:dyDescent="0.2">
      <c r="A791" s="138"/>
      <c r="B791" s="147"/>
      <c r="C791" s="101" t="s">
        <v>13</v>
      </c>
      <c r="D791" s="69">
        <f t="shared" si="325"/>
        <v>0</v>
      </c>
      <c r="E791" s="69">
        <v>0</v>
      </c>
      <c r="F791" s="69">
        <v>0</v>
      </c>
      <c r="G791" s="69">
        <v>0</v>
      </c>
      <c r="H791" s="69">
        <v>0</v>
      </c>
      <c r="I791" s="69">
        <v>0</v>
      </c>
      <c r="J791" s="69">
        <v>0</v>
      </c>
      <c r="K791" s="69">
        <v>0</v>
      </c>
      <c r="L791" s="69">
        <v>0</v>
      </c>
      <c r="M791" s="69">
        <v>0</v>
      </c>
      <c r="N791" s="69">
        <v>0</v>
      </c>
      <c r="O791" s="69">
        <v>0</v>
      </c>
    </row>
    <row r="792" spans="1:15" ht="21.75" customHeight="1" x14ac:dyDescent="0.2">
      <c r="A792" s="89"/>
      <c r="B792" s="90"/>
      <c r="C792" s="91"/>
      <c r="D792" s="75"/>
      <c r="E792" s="75"/>
      <c r="F792" s="75"/>
      <c r="G792" s="75"/>
      <c r="H792" s="75"/>
      <c r="I792" s="75"/>
      <c r="J792" s="75"/>
      <c r="K792" s="75"/>
      <c r="L792" s="75"/>
      <c r="M792" s="75"/>
      <c r="N792" s="75"/>
      <c r="O792" s="75"/>
    </row>
    <row r="793" spans="1:15" ht="15.75" x14ac:dyDescent="0.2">
      <c r="A793" s="92"/>
      <c r="B793" s="92"/>
      <c r="C793" s="92"/>
      <c r="D793" s="93"/>
      <c r="E793" s="92"/>
      <c r="F793" s="92"/>
      <c r="G793" s="92"/>
      <c r="H793" s="94"/>
      <c r="I793" s="92"/>
      <c r="J793" s="92"/>
      <c r="K793" s="95"/>
    </row>
    <row r="802" spans="4:4" x14ac:dyDescent="0.2">
      <c r="D802" s="60"/>
    </row>
  </sheetData>
  <autoFilter ref="A7:Y791"/>
  <mergeCells count="292">
    <mergeCell ref="A733:A737"/>
    <mergeCell ref="B733:B737"/>
    <mergeCell ref="A50:A55"/>
    <mergeCell ref="B50:B55"/>
    <mergeCell ref="A762:A766"/>
    <mergeCell ref="B762:B766"/>
    <mergeCell ref="B509:B513"/>
    <mergeCell ref="A484:A488"/>
    <mergeCell ref="B581:B586"/>
    <mergeCell ref="A587:A591"/>
    <mergeCell ref="B587:B591"/>
    <mergeCell ref="A563:A567"/>
    <mergeCell ref="B563:B567"/>
    <mergeCell ref="B592:B596"/>
    <mergeCell ref="B543:B547"/>
    <mergeCell ref="A641:A645"/>
    <mergeCell ref="B636:B640"/>
    <mergeCell ref="B738:B744"/>
    <mergeCell ref="A693:A697"/>
    <mergeCell ref="B693:B697"/>
    <mergeCell ref="B61:B67"/>
    <mergeCell ref="B144:B151"/>
    <mergeCell ref="B128:B136"/>
    <mergeCell ref="B120:B127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688:A692"/>
    <mergeCell ref="B688:B692"/>
    <mergeCell ref="B602:B609"/>
    <mergeCell ref="A575:A580"/>
    <mergeCell ref="A602:A609"/>
    <mergeCell ref="A646:A650"/>
    <mergeCell ref="A597:A601"/>
    <mergeCell ref="A626:A630"/>
    <mergeCell ref="A592:A596"/>
    <mergeCell ref="B631:B635"/>
    <mergeCell ref="A636:A640"/>
    <mergeCell ref="A631:A635"/>
    <mergeCell ref="A610:A615"/>
    <mergeCell ref="A621:A625"/>
    <mergeCell ref="A666:A671"/>
    <mergeCell ref="B666:B671"/>
    <mergeCell ref="B678:B682"/>
    <mergeCell ref="A678:A682"/>
    <mergeCell ref="B641:B645"/>
    <mergeCell ref="B616:B620"/>
    <mergeCell ref="B597:B601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38:A43"/>
    <mergeCell ref="B38:B43"/>
    <mergeCell ref="B44:B49"/>
    <mergeCell ref="A44:A49"/>
    <mergeCell ref="A206:A210"/>
    <mergeCell ref="A18:A27"/>
    <mergeCell ref="A466:A471"/>
    <mergeCell ref="B18:B27"/>
    <mergeCell ref="B56:B60"/>
    <mergeCell ref="B74:B80"/>
    <mergeCell ref="A351:A355"/>
    <mergeCell ref="A426:A430"/>
    <mergeCell ref="A421:A425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787:A791"/>
    <mergeCell ref="B782:B786"/>
    <mergeCell ref="A782:A786"/>
    <mergeCell ref="B787:B791"/>
    <mergeCell ref="B656:B660"/>
    <mergeCell ref="A656:A660"/>
    <mergeCell ref="A752:A756"/>
    <mergeCell ref="B752:B756"/>
    <mergeCell ref="A777:A781"/>
    <mergeCell ref="B777:B781"/>
    <mergeCell ref="B745:B751"/>
    <mergeCell ref="A745:A751"/>
    <mergeCell ref="A757:A761"/>
    <mergeCell ref="B757:B761"/>
    <mergeCell ref="A672:A677"/>
    <mergeCell ref="B672:B677"/>
    <mergeCell ref="A738:A744"/>
    <mergeCell ref="A772:A776"/>
    <mergeCell ref="B772:B776"/>
    <mergeCell ref="A767:A771"/>
    <mergeCell ref="B767:B771"/>
    <mergeCell ref="A708:A712"/>
    <mergeCell ref="B708:B712"/>
    <mergeCell ref="A698:A702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698:B702"/>
    <mergeCell ref="A703:A707"/>
    <mergeCell ref="B703:B707"/>
    <mergeCell ref="B484:B488"/>
    <mergeCell ref="A531:A535"/>
    <mergeCell ref="B472:B478"/>
    <mergeCell ref="B504:B508"/>
    <mergeCell ref="B610:B615"/>
    <mergeCell ref="B626:B630"/>
    <mergeCell ref="B621:B625"/>
    <mergeCell ref="A558:A562"/>
    <mergeCell ref="A553:A557"/>
    <mergeCell ref="A524:A530"/>
    <mergeCell ref="A568:A574"/>
    <mergeCell ref="B558:B562"/>
    <mergeCell ref="B568:B574"/>
    <mergeCell ref="B553:B557"/>
    <mergeCell ref="A661:A665"/>
    <mergeCell ref="B661:B665"/>
    <mergeCell ref="B531:B535"/>
    <mergeCell ref="A536:A542"/>
    <mergeCell ref="B548:B552"/>
    <mergeCell ref="A519:A523"/>
    <mergeCell ref="B446:B450"/>
    <mergeCell ref="A446:A450"/>
    <mergeCell ref="A456:A460"/>
    <mergeCell ref="B456:B460"/>
    <mergeCell ref="A494:A498"/>
    <mergeCell ref="B494:B498"/>
    <mergeCell ref="B479:B483"/>
    <mergeCell ref="B489:B493"/>
    <mergeCell ref="A461:A465"/>
    <mergeCell ref="B461:B465"/>
    <mergeCell ref="B466:B471"/>
    <mergeCell ref="A451:A455"/>
    <mergeCell ref="A391:A395"/>
    <mergeCell ref="B391:B395"/>
    <mergeCell ref="B276:B280"/>
    <mergeCell ref="A276:A280"/>
    <mergeCell ref="A386:A390"/>
    <mergeCell ref="B386:B390"/>
    <mergeCell ref="B436:B440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31:A435"/>
    <mergeCell ref="B431:B435"/>
    <mergeCell ref="B291:B295"/>
    <mergeCell ref="A296:A300"/>
    <mergeCell ref="A381:A385"/>
    <mergeCell ref="B381:B385"/>
    <mergeCell ref="A543:A547"/>
    <mergeCell ref="A504:A508"/>
    <mergeCell ref="A713:A717"/>
    <mergeCell ref="B713:B717"/>
    <mergeCell ref="B366:B370"/>
    <mergeCell ref="A366:A370"/>
    <mergeCell ref="B371:B375"/>
    <mergeCell ref="B376:B380"/>
    <mergeCell ref="A371:A375"/>
    <mergeCell ref="A376:A380"/>
    <mergeCell ref="A479:A483"/>
    <mergeCell ref="A548:A552"/>
    <mergeCell ref="B536:B542"/>
    <mergeCell ref="A489:A493"/>
    <mergeCell ref="A472:A478"/>
    <mergeCell ref="A509:A513"/>
    <mergeCell ref="B575:B580"/>
    <mergeCell ref="B651:B655"/>
    <mergeCell ref="B646:B650"/>
    <mergeCell ref="A441:A445"/>
    <mergeCell ref="B441:B445"/>
    <mergeCell ref="A436:A440"/>
    <mergeCell ref="A396:A400"/>
    <mergeCell ref="B396:B400"/>
    <mergeCell ref="A723:A727"/>
    <mergeCell ref="B723:B727"/>
    <mergeCell ref="A728:A732"/>
    <mergeCell ref="B728:B732"/>
    <mergeCell ref="A718:A722"/>
    <mergeCell ref="B718:B722"/>
    <mergeCell ref="A356:A360"/>
    <mergeCell ref="B356:B360"/>
    <mergeCell ref="B451:B455"/>
    <mergeCell ref="A683:A687"/>
    <mergeCell ref="B683:B687"/>
    <mergeCell ref="A616:A620"/>
    <mergeCell ref="A651:A655"/>
    <mergeCell ref="A581:A586"/>
    <mergeCell ref="B519:B523"/>
    <mergeCell ref="B524:B530"/>
    <mergeCell ref="A514:A518"/>
    <mergeCell ref="B514:B518"/>
    <mergeCell ref="A499:A503"/>
    <mergeCell ref="B499:B503"/>
    <mergeCell ref="A361:A365"/>
    <mergeCell ref="B361:B365"/>
    <mergeCell ref="B426:B430"/>
    <mergeCell ref="B421:B425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2023-06-16T05:55:16Z</cp:lastPrinted>
  <dcterms:created xsi:type="dcterms:W3CDTF">1996-10-08T23:32:33Z</dcterms:created>
  <dcterms:modified xsi:type="dcterms:W3CDTF">2023-09-01T05:59:13Z</dcterms:modified>
</cp:coreProperties>
</file>