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018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</definedNames>
  <calcPr calcId="145621"/>
</workbook>
</file>

<file path=xl/calcChain.xml><?xml version="1.0" encoding="utf-8"?>
<calcChain xmlns="http://schemas.openxmlformats.org/spreadsheetml/2006/main">
  <c r="K29" i="1" l="1"/>
  <c r="K16" i="1" l="1"/>
  <c r="L16" i="1"/>
  <c r="AG21" i="1" l="1"/>
  <c r="AG22" i="1"/>
  <c r="AI17" i="1"/>
  <c r="AG19" i="1"/>
  <c r="AG17" i="1"/>
  <c r="AG16" i="1"/>
  <c r="AG29" i="1"/>
  <c r="AG30" i="1"/>
  <c r="AH69" i="1"/>
  <c r="AG59" i="1"/>
  <c r="AJ29" i="1" l="1"/>
  <c r="AJ30" i="1"/>
  <c r="AI29" i="1"/>
  <c r="AI30" i="1" s="1"/>
  <c r="AH30" i="1"/>
  <c r="AH65" i="1" s="1"/>
  <c r="AH29" i="1"/>
  <c r="AJ59" i="1"/>
  <c r="AI59" i="1"/>
  <c r="AJ23" i="1"/>
  <c r="AI23" i="1"/>
  <c r="AH23" i="1"/>
  <c r="AH54" i="1"/>
  <c r="AJ21" i="1"/>
  <c r="AI19" i="1"/>
  <c r="AJ19" i="1"/>
  <c r="AJ17" i="1"/>
  <c r="AI21" i="1"/>
  <c r="AH21" i="1"/>
  <c r="AH19" i="1"/>
  <c r="AH17" i="1"/>
  <c r="AJ16" i="1"/>
  <c r="AI16" i="1"/>
  <c r="AH16" i="1"/>
  <c r="AH59" i="1" l="1"/>
  <c r="K22" i="1"/>
  <c r="J22" i="1" l="1"/>
  <c r="AI52" i="1" l="1"/>
  <c r="AG52" i="1" l="1"/>
  <c r="AG54" i="1" l="1"/>
  <c r="AI65" i="1"/>
  <c r="AI69" i="1" s="1"/>
  <c r="AG65" i="1"/>
  <c r="AG69" i="1" s="1"/>
  <c r="AF30" i="1" l="1"/>
  <c r="AF29" i="1"/>
  <c r="AF59" i="1"/>
  <c r="AF22" i="1"/>
  <c r="AF19" i="1"/>
  <c r="AF15" i="1"/>
  <c r="AF23" i="1" l="1"/>
  <c r="AF65" i="1"/>
  <c r="AF21" i="1"/>
  <c r="AF17" i="1"/>
  <c r="AE22" i="1" l="1"/>
  <c r="AE23" i="1"/>
  <c r="C59" i="1" l="1"/>
  <c r="AF52" i="1" l="1"/>
  <c r="AF81" i="1" l="1"/>
  <c r="H15" i="1"/>
  <c r="AJ65" i="1" l="1"/>
  <c r="AJ69" i="1" s="1"/>
  <c r="AH20" i="1" l="1"/>
  <c r="AI20" i="1" s="1"/>
  <c r="AJ20" i="1" s="1"/>
  <c r="AH18" i="1"/>
  <c r="AI18" i="1" s="1"/>
  <c r="AJ18" i="1" s="1"/>
  <c r="AD21" i="1"/>
  <c r="AD19" i="1"/>
  <c r="AD17" i="1"/>
  <c r="M16" i="1" l="1"/>
  <c r="G16" i="1"/>
  <c r="AJ54" i="1"/>
  <c r="AI54" i="1"/>
  <c r="AJ53" i="1"/>
  <c r="AI53" i="1"/>
  <c r="AH53" i="1"/>
  <c r="AG53" i="1"/>
  <c r="AJ52" i="1"/>
  <c r="AH52" i="1"/>
  <c r="M53" i="1"/>
  <c r="L53" i="1"/>
  <c r="K53" i="1"/>
  <c r="J53" i="1"/>
  <c r="I53" i="1"/>
  <c r="AJ56" i="1" l="1"/>
  <c r="AJ57" i="1" s="1"/>
  <c r="AJ61" i="1" s="1"/>
  <c r="AG56" i="1"/>
  <c r="AG57" i="1" s="1"/>
  <c r="AG61" i="1" s="1"/>
  <c r="AI56" i="1"/>
  <c r="AI57" i="1" s="1"/>
  <c r="AI61" i="1" s="1"/>
  <c r="AH56" i="1"/>
  <c r="AH57" i="1" s="1"/>
  <c r="AH61" i="1" s="1"/>
  <c r="I16" i="1"/>
  <c r="J16" i="1"/>
  <c r="H16" i="1"/>
  <c r="AD22" i="1"/>
  <c r="AD23" i="1"/>
  <c r="AF18" i="1" l="1"/>
  <c r="AF20" i="1"/>
  <c r="AF54" i="1"/>
  <c r="AE52" i="1"/>
  <c r="AE53" i="1"/>
  <c r="H23" i="1"/>
  <c r="J23" i="1" s="1"/>
  <c r="M23" i="1" s="1"/>
  <c r="H22" i="1"/>
  <c r="AF53" i="1" l="1"/>
  <c r="AF56" i="1" s="1"/>
  <c r="AF57" i="1" s="1"/>
  <c r="AE81" i="1"/>
  <c r="J54" i="1"/>
  <c r="I54" i="1"/>
  <c r="AC54" i="1"/>
  <c r="AO60" i="1" l="1"/>
  <c r="AF61" i="1"/>
  <c r="AO62" i="1"/>
  <c r="AO61" i="1"/>
  <c r="K54" i="1"/>
  <c r="L22" i="1"/>
  <c r="AC52" i="1"/>
  <c r="AC65" i="1"/>
  <c r="AC68" i="1"/>
  <c r="AE65" i="1"/>
  <c r="AE69" i="1" s="1"/>
  <c r="AD65" i="1"/>
  <c r="AD69" i="1" s="1"/>
  <c r="T30" i="1"/>
  <c r="AO63" i="1" l="1"/>
  <c r="L54" i="1"/>
  <c r="M22" i="1"/>
  <c r="M54" i="1" s="1"/>
  <c r="AC69" i="1"/>
  <c r="P29" i="1"/>
  <c r="P23" i="1"/>
  <c r="P22" i="1"/>
  <c r="P21" i="1"/>
  <c r="P19" i="1"/>
  <c r="P17" i="1"/>
  <c r="P16" i="1"/>
  <c r="F15" i="1" l="1"/>
  <c r="O59" i="1" l="1"/>
  <c r="O23" i="1"/>
  <c r="O22" i="1"/>
  <c r="O16" i="1"/>
  <c r="O64" i="1"/>
  <c r="O29" i="1"/>
  <c r="U30" i="1" l="1"/>
  <c r="Q22" i="1"/>
  <c r="AD53" i="1" l="1"/>
  <c r="T15" i="1"/>
  <c r="V52" i="1" l="1"/>
  <c r="N54" i="1" l="1"/>
  <c r="N53" i="1"/>
  <c r="S52" i="1"/>
  <c r="W52" i="1"/>
  <c r="Y52" i="1"/>
  <c r="Z52" i="1"/>
  <c r="AA52" i="1"/>
  <c r="AB52" i="1"/>
  <c r="R54" i="1"/>
  <c r="X54" i="1"/>
  <c r="P53" i="1"/>
  <c r="AA53" i="1"/>
  <c r="AB53" i="1"/>
  <c r="AC53" i="1"/>
  <c r="AC56" i="1" s="1"/>
  <c r="AC57" i="1" s="1"/>
  <c r="E54" i="1"/>
  <c r="F54" i="1"/>
  <c r="G54" i="1"/>
  <c r="H54" i="1"/>
  <c r="H53" i="1"/>
  <c r="G53" i="1"/>
  <c r="F53" i="1"/>
  <c r="E53" i="1"/>
  <c r="N56" i="1" l="1"/>
  <c r="T29" i="1"/>
  <c r="Z19" i="1"/>
  <c r="Z53" i="1" s="1"/>
  <c r="O15" i="1"/>
  <c r="Q15" i="1" s="1"/>
  <c r="U15" i="1" l="1"/>
  <c r="X15" i="1" s="1"/>
  <c r="V10" i="1"/>
  <c r="O52" i="1"/>
  <c r="U11" i="1"/>
  <c r="T11" i="1"/>
  <c r="Q52" i="1"/>
  <c r="Y10" i="1"/>
  <c r="U52" i="1" l="1"/>
  <c r="O66" i="1"/>
  <c r="P52" i="1"/>
  <c r="T52" i="1"/>
  <c r="N52" i="1"/>
  <c r="N57" i="1" s="1"/>
  <c r="W21" i="1"/>
  <c r="D53" i="1"/>
  <c r="D23" i="1"/>
  <c r="D22" i="1"/>
  <c r="D15" i="1"/>
  <c r="O54" i="1" l="1"/>
  <c r="T22" i="1"/>
  <c r="D54" i="1"/>
  <c r="AD52" i="1"/>
  <c r="T23" i="1"/>
  <c r="Q54" i="1"/>
  <c r="X52" i="1"/>
  <c r="T21" i="1"/>
  <c r="T19" i="1" s="1"/>
  <c r="W19" i="1" s="1"/>
  <c r="AD81" i="1" l="1"/>
  <c r="Z23" i="1"/>
  <c r="T54" i="1"/>
  <c r="T17" i="1"/>
  <c r="U19" i="1"/>
  <c r="X19" i="1" s="1"/>
  <c r="X53" i="1" s="1"/>
  <c r="X56" i="1" s="1"/>
  <c r="X57" i="1" s="1"/>
  <c r="Y23" i="1"/>
  <c r="D16" i="1"/>
  <c r="Y54" i="1" l="1"/>
  <c r="V19" i="1"/>
  <c r="V53" i="1" s="1"/>
  <c r="T53" i="1"/>
  <c r="T56" i="1" s="1"/>
  <c r="T57" i="1" s="1"/>
  <c r="Z54" i="1"/>
  <c r="Z56" i="1" s="1"/>
  <c r="Z57" i="1" s="1"/>
  <c r="AA23" i="1"/>
  <c r="AA54" i="1" s="1"/>
  <c r="AA56" i="1" s="1"/>
  <c r="AA57" i="1" s="1"/>
  <c r="W17" i="1"/>
  <c r="O34" i="1"/>
  <c r="P34" i="1"/>
  <c r="O35" i="1"/>
  <c r="P35" i="1"/>
  <c r="W35" i="1"/>
  <c r="O36" i="1"/>
  <c r="P36" i="1"/>
  <c r="N37" i="1"/>
  <c r="AB22" i="1" l="1"/>
  <c r="AB54" i="1" s="1"/>
  <c r="AB56" i="1" s="1"/>
  <c r="AB57" i="1" s="1"/>
  <c r="Y21" i="1"/>
  <c r="Y53" i="1" s="1"/>
  <c r="Y56" i="1" s="1"/>
  <c r="Y57" i="1" s="1"/>
  <c r="W53" i="1"/>
  <c r="P54" i="1"/>
  <c r="U37" i="1"/>
  <c r="V37" i="1"/>
  <c r="T39" i="1"/>
  <c r="P56" i="1" l="1"/>
  <c r="P57" i="1" s="1"/>
  <c r="AE54" i="1"/>
  <c r="AE56" i="1" s="1"/>
  <c r="AE57" i="1" s="1"/>
  <c r="AE61" i="1" s="1"/>
  <c r="AD54" i="1"/>
  <c r="AD56" i="1" s="1"/>
  <c r="AD62" i="1" s="1"/>
  <c r="AC62" i="1"/>
  <c r="N34" i="1"/>
  <c r="N35" i="1"/>
  <c r="N36" i="1"/>
  <c r="Z44" i="1"/>
  <c r="N14" i="1"/>
  <c r="AE62" i="1" l="1"/>
  <c r="AD57" i="1"/>
  <c r="P60" i="1"/>
  <c r="T37" i="1"/>
  <c r="T36" i="1" s="1"/>
  <c r="W36" i="1"/>
  <c r="N44" i="1"/>
  <c r="T34" i="1" l="1"/>
  <c r="T35" i="1"/>
  <c r="Z43" i="1"/>
  <c r="Z39" i="1"/>
  <c r="N41" i="1" l="1"/>
  <c r="P14" i="1" l="1"/>
  <c r="X44" i="1" l="1"/>
  <c r="P38" i="1" l="1"/>
  <c r="V44" i="1" s="1"/>
  <c r="V40" i="1" l="1"/>
  <c r="V41" i="1" s="1"/>
  <c r="U40" i="1"/>
  <c r="U41" i="1" s="1"/>
  <c r="T40" i="1" l="1"/>
  <c r="T41" i="1" s="1"/>
  <c r="T43" i="1" l="1"/>
  <c r="U22" i="1" l="1"/>
  <c r="R17" i="1" s="1"/>
  <c r="N38" i="1"/>
  <c r="T44" i="1" s="1"/>
  <c r="V22" i="1" l="1"/>
  <c r="V54" i="1" s="1"/>
  <c r="V56" i="1" s="1"/>
  <c r="V57" i="1" s="1"/>
  <c r="R19" i="1"/>
  <c r="O19" i="1" s="1"/>
  <c r="O17" i="1"/>
  <c r="R21" i="1"/>
  <c r="O21" i="1" s="1"/>
  <c r="R16" i="1" l="1"/>
  <c r="R52" i="1" s="1"/>
  <c r="Q17" i="1"/>
  <c r="O53" i="1"/>
  <c r="O56" i="1" s="1"/>
  <c r="U21" i="1"/>
  <c r="S17" i="1"/>
  <c r="R53" i="1"/>
  <c r="R56" i="1" s="1"/>
  <c r="S19" i="1"/>
  <c r="S21" i="1"/>
  <c r="O60" i="1" l="1"/>
  <c r="O57" i="1"/>
  <c r="S22" i="1"/>
  <c r="S54" i="1" s="1"/>
  <c r="R57" i="1"/>
  <c r="S53" i="1"/>
  <c r="Q53" i="1"/>
  <c r="Q56" i="1" s="1"/>
  <c r="Q57" i="1" s="1"/>
  <c r="U23" i="1"/>
  <c r="W23" i="1" s="1"/>
  <c r="W54" i="1" s="1"/>
  <c r="W56" i="1" s="1"/>
  <c r="W57" i="1" s="1"/>
  <c r="U53" i="1"/>
  <c r="U29" i="1"/>
  <c r="O38" i="1"/>
  <c r="U44" i="1" s="1"/>
  <c r="U54" i="1" l="1"/>
  <c r="U56" i="1" s="1"/>
  <c r="U57" i="1" s="1"/>
  <c r="S56" i="1"/>
  <c r="S57" i="1" s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</t>
        </r>
      </text>
    </comment>
    <comment ref="AH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переходу классов,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G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G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23-25</t>
        </r>
      </text>
    </comment>
    <comment ref="AE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G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<sst xmlns="http://schemas.openxmlformats.org/spreadsheetml/2006/main" count="99" uniqueCount="79">
  <si>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</si>
  <si>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</si>
  <si>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</si>
  <si>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</si>
  <si>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</si>
  <si>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</si>
  <si>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</si>
  <si>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</si>
  <si>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</si>
  <si>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</si>
  <si>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</si>
  <si>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</si>
  <si>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</si>
  <si>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</si>
  <si>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</si>
  <si>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</si>
  <si>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</si>
  <si>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</si>
  <si>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</si>
  <si>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</si>
  <si>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</si>
  <si>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</si>
  <si>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</si>
  <si>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</si>
  <si>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 xml:space="preserve">Физические лица с ограниченными возможностями здоровья Физические лица от 1,5 до 3 лет; Физические лица от 3 до 5 лет; Физические лица от 5 до 7 лет; 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</si>
  <si>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</si>
  <si>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</si>
  <si>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 xml:space="preserve">1.1.8  Реализация основных общеобразовательных программ дошкольного образования  (образовательная программа дошкольного образования )        </t>
  </si>
  <si>
    <t>1.1.9 Реализация основных общеобразовательных программ дошкольного образования  (адаптированная образовательная программа дошкольного образования)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</si>
  <si>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</si>
  <si>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</si>
  <si>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</si>
  <si>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</si>
  <si>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</si>
  <si>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</si>
  <si>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</si>
  <si>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</si>
  <si>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</si>
  <si>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</si>
  <si>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</si>
  <si>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</si>
  <si>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</si>
  <si>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</si>
  <si>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</si>
  <si>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</si>
  <si>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</si>
  <si>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</si>
  <si>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</si>
  <si>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</si>
  <si>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</si>
  <si>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</si>
  <si>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</si>
  <si>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</si>
  <si>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</si>
  <si>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</si>
  <si>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</si>
  <si>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</si>
  <si>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</si>
  <si>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</si>
  <si>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</si>
  <si>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</si>
  <si>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</si>
  <si>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</si>
  <si>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</si>
  <si>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</si>
  <si>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</si>
  <si>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</si>
  <si>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</si>
  <si>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</si>
  <si>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</si>
  <si>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</si>
  <si>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</si>
  <si>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</si>
  <si>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</si>
  <si>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</si>
  <si>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</si>
  <si>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</si>
  <si>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</si>
  <si>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Благовещенска от 13.01.2023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</si>
</sst>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2" fillId="2" borderId="0" xfId="0" applyFont="1" applyFill="1" applyAlignment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0" fillId="2" borderId="0" xfId="0" applyFont="1" applyFill="1" applyAlignment="1"/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4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4" fontId="3" fillId="3" borderId="0" xfId="0" applyNumberFormat="1" applyFont="1" applyFill="1"/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6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V81"/>
  <sheetViews>
    <sheetView tabSelected="1" topLeftCell="J1" zoomScale="105" zoomScaleNormal="105" workbookViewId="0">
      <selection activeCell="AH4" sqref="AH4"/>
    </sheetView>
  </sheetViews>
  <sheetFormatPr defaultColWidth="9.109375" defaultRowHeight="14.4" x14ac:dyDescent="0.3"/>
  <cols>
    <col min="1" max="1" width="26.109375" style="3" customWidth="1"/>
    <col min="2" max="2" width="16.44140625" style="3" customWidth="1"/>
    <col min="3" max="3" width="9.77734375" style="3" customWidth="1"/>
    <col min="4" max="4" width="11.21875" style="3" customWidth="1"/>
    <col min="5" max="5" width="10.77734375" style="3" customWidth="1"/>
    <col min="6" max="6" width="11.6640625" style="3" customWidth="1"/>
    <col min="7" max="7" width="11.88671875" style="3" customWidth="1"/>
    <col min="8" max="9" width="11.33203125" style="3" customWidth="1"/>
    <col min="10" max="10" width="12" style="3" customWidth="1"/>
    <col min="11" max="11" width="11.33203125" style="3" customWidth="1"/>
    <col min="12" max="12" width="11.109375" style="3" customWidth="1"/>
    <col min="13" max="13" width="12.33203125" style="3" customWidth="1"/>
    <col min="14" max="14" width="10.88671875" style="3" customWidth="1"/>
    <col min="15" max="15" width="11.5546875" style="3" customWidth="1"/>
    <col min="16" max="16" width="14.44140625" style="3" customWidth="1"/>
    <col min="17" max="18" width="15.44140625" style="3" hidden="1" customWidth="1"/>
    <col min="19" max="19" width="12.44140625" style="3" hidden="1" customWidth="1"/>
    <col min="20" max="20" width="13.33203125" style="3" hidden="1" customWidth="1"/>
    <col min="21" max="21" width="15.6640625" style="3" hidden="1" customWidth="1"/>
    <col min="22" max="22" width="15.44140625" style="3" hidden="1" customWidth="1"/>
    <col min="23" max="23" width="11.88671875" style="3" hidden="1" customWidth="1"/>
    <col min="24" max="24" width="11.109375" style="3" hidden="1" customWidth="1"/>
    <col min="25" max="25" width="11.5546875" style="3" hidden="1" customWidth="1"/>
    <col min="26" max="26" width="10" style="3" hidden="1" customWidth="1"/>
    <col min="27" max="27" width="9.109375" style="3" hidden="1" customWidth="1"/>
    <col min="28" max="28" width="12.5546875" style="3" hidden="1" customWidth="1"/>
    <col min="29" max="29" width="14.109375" style="3" customWidth="1"/>
    <col min="30" max="30" width="14.5546875" style="3" customWidth="1"/>
    <col min="31" max="31" width="13.109375" style="3" customWidth="1"/>
    <col min="32" max="32" width="13.5546875" style="3" customWidth="1"/>
    <col min="33" max="33" width="12.5546875" style="3" customWidth="1"/>
    <col min="34" max="34" width="13.109375" style="3" customWidth="1"/>
    <col min="35" max="36" width="13" style="3" customWidth="1"/>
    <col min="37" max="40" width="9.109375" style="3" hidden="1" customWidth="1"/>
    <col min="41" max="41" width="0.33203125" style="3" hidden="1" customWidth="1"/>
    <col min="42" max="45" width="9.109375" style="3" hidden="1" customWidth="1"/>
    <col min="46" max="46" width="0.5546875" style="3" hidden="1" customWidth="1"/>
    <col min="47" max="48" width="9.109375" style="3" hidden="1" customWidth="1"/>
    <col min="49" max="16384" width="9.109375" style="3"/>
  </cols>
  <sheetData>
    <row r="2" spans="1:38" x14ac:dyDescent="0.3">
      <c r="AH2" s="4" t="s">
        <v>75</v>
      </c>
      <c r="AI2" s="4"/>
      <c r="AJ2" s="4"/>
    </row>
    <row r="3" spans="1:38" x14ac:dyDescent="0.3">
      <c r="AH3" s="4" t="s">
        <v>70</v>
      </c>
      <c r="AI3" s="4"/>
      <c r="AJ3" s="4"/>
    </row>
    <row r="4" spans="1:38" x14ac:dyDescent="0.3">
      <c r="AH4" s="4" t="s">
        <v>78</v>
      </c>
      <c r="AI4" s="4"/>
      <c r="AJ4" s="4"/>
    </row>
    <row r="5" spans="1:38" ht="15" x14ac:dyDescent="0.3">
      <c r="AH5" s="4"/>
      <c r="AI5" s="4"/>
      <c r="AJ5" s="4"/>
    </row>
    <row r="6" spans="1:38" ht="15.6" x14ac:dyDescent="0.3">
      <c r="N6" s="94"/>
      <c r="O6" s="95"/>
      <c r="P6" s="95"/>
      <c r="Q6" s="5"/>
      <c r="R6" s="5"/>
      <c r="AC6" s="6"/>
      <c r="AD6" s="107"/>
      <c r="AE6" s="108"/>
      <c r="AF6" s="108"/>
      <c r="AH6" s="107" t="s">
        <v>75</v>
      </c>
      <c r="AI6" s="108"/>
      <c r="AJ6" s="108"/>
    </row>
    <row r="7" spans="1:38" ht="15.6" x14ac:dyDescent="0.3">
      <c r="N7" s="92"/>
      <c r="O7" s="93"/>
      <c r="P7" s="93"/>
      <c r="Q7" s="7"/>
      <c r="R7" s="7"/>
      <c r="AC7" s="4"/>
      <c r="AD7" s="109"/>
      <c r="AE7" s="110"/>
      <c r="AF7" s="110"/>
      <c r="AH7" s="109" t="s">
        <v>15</v>
      </c>
      <c r="AI7" s="110"/>
      <c r="AJ7" s="110"/>
    </row>
    <row r="8" spans="1:38" ht="37.049999999999997" customHeight="1" x14ac:dyDescent="0.3">
      <c r="A8" s="111" t="s">
        <v>69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</row>
    <row r="9" spans="1:38" ht="27" customHeight="1" x14ac:dyDescent="0.3">
      <c r="A9" s="99" t="s">
        <v>71</v>
      </c>
      <c r="B9" s="99" t="s">
        <v>0</v>
      </c>
      <c r="C9" s="101" t="s">
        <v>16</v>
      </c>
      <c r="D9" s="102"/>
      <c r="E9" s="102"/>
      <c r="F9" s="103"/>
      <c r="G9" s="103"/>
      <c r="H9" s="103"/>
      <c r="I9" s="103"/>
      <c r="J9" s="103"/>
      <c r="K9" s="103"/>
      <c r="L9" s="103"/>
      <c r="M9" s="104"/>
      <c r="N9" s="101" t="s">
        <v>65</v>
      </c>
      <c r="O9" s="103"/>
      <c r="P9" s="103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6"/>
    </row>
    <row r="10" spans="1:38" ht="38.25" customHeight="1" x14ac:dyDescent="0.3">
      <c r="A10" s="100"/>
      <c r="B10" s="100"/>
      <c r="C10" s="8" t="s">
        <v>62</v>
      </c>
      <c r="D10" s="8" t="s">
        <v>63</v>
      </c>
      <c r="E10" s="8" t="s">
        <v>54</v>
      </c>
      <c r="F10" s="8" t="s">
        <v>41</v>
      </c>
      <c r="G10" s="8" t="s">
        <v>42</v>
      </c>
      <c r="H10" s="8" t="s">
        <v>43</v>
      </c>
      <c r="I10" s="9" t="s">
        <v>56</v>
      </c>
      <c r="J10" s="9" t="s">
        <v>58</v>
      </c>
      <c r="K10" s="9" t="s">
        <v>59</v>
      </c>
      <c r="L10" s="9" t="s">
        <v>60</v>
      </c>
      <c r="M10" s="9" t="s">
        <v>61</v>
      </c>
      <c r="N10" s="9" t="s">
        <v>1</v>
      </c>
      <c r="O10" s="9" t="s">
        <v>2</v>
      </c>
      <c r="P10" s="9" t="s">
        <v>3</v>
      </c>
      <c r="Q10" s="10"/>
      <c r="R10" s="10"/>
      <c r="S10" s="11"/>
      <c r="T10" s="11"/>
      <c r="U10" s="11"/>
      <c r="V10" s="11">
        <f>O16/Q15%</f>
        <v>75.662387562722074</v>
      </c>
      <c r="W10" s="11" t="s">
        <v>39</v>
      </c>
      <c r="X10" s="12">
        <v>339732.4</v>
      </c>
      <c r="Y10" s="12">
        <f>X10-O16</f>
        <v>104139.70000000004</v>
      </c>
      <c r="Z10" s="12"/>
      <c r="AA10" s="11"/>
      <c r="AB10" s="11"/>
      <c r="AC10" s="9" t="s">
        <v>41</v>
      </c>
      <c r="AD10" s="9" t="s">
        <v>42</v>
      </c>
      <c r="AE10" s="9" t="s">
        <v>43</v>
      </c>
      <c r="AF10" s="9" t="s">
        <v>56</v>
      </c>
      <c r="AG10" s="9" t="s">
        <v>58</v>
      </c>
      <c r="AH10" s="9" t="s">
        <v>59</v>
      </c>
      <c r="AI10" s="9" t="s">
        <v>60</v>
      </c>
      <c r="AJ10" s="9" t="s">
        <v>61</v>
      </c>
    </row>
    <row r="11" spans="1:38" ht="15" x14ac:dyDescent="0.3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4"/>
      <c r="R11" s="14"/>
      <c r="S11" s="15"/>
      <c r="T11" s="15">
        <f>O15/U15%</f>
        <v>24.337612437277919</v>
      </c>
      <c r="U11" s="16">
        <f>O15-363190.7</f>
        <v>-287409.80000000005</v>
      </c>
      <c r="V11" s="15"/>
      <c r="W11" s="15"/>
      <c r="X11" s="17"/>
      <c r="Y11" s="17"/>
      <c r="Z11" s="17"/>
      <c r="AA11" s="15"/>
      <c r="AB11" s="15"/>
      <c r="AC11" s="18">
        <v>17</v>
      </c>
      <c r="AD11" s="18">
        <v>18</v>
      </c>
      <c r="AE11" s="18">
        <v>19</v>
      </c>
      <c r="AF11" s="18">
        <v>20</v>
      </c>
      <c r="AG11" s="19">
        <v>21</v>
      </c>
      <c r="AH11" s="20">
        <v>22</v>
      </c>
      <c r="AI11" s="18">
        <v>23</v>
      </c>
      <c r="AJ11" s="18">
        <v>24</v>
      </c>
    </row>
    <row r="12" spans="1:38" ht="15.6" x14ac:dyDescent="0.3">
      <c r="A12" s="114" t="s">
        <v>67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</row>
    <row r="13" spans="1:38" ht="24.75" customHeight="1" x14ac:dyDescent="0.3">
      <c r="A13" s="116" t="s">
        <v>76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</row>
    <row r="14" spans="1:38" ht="88.5" hidden="1" customHeight="1" x14ac:dyDescent="0.3">
      <c r="A14" s="21" t="s">
        <v>4</v>
      </c>
      <c r="B14" s="22" t="s">
        <v>10</v>
      </c>
      <c r="C14" s="23">
        <v>12287</v>
      </c>
      <c r="D14" s="23">
        <v>12457</v>
      </c>
      <c r="E14" s="23">
        <v>12457</v>
      </c>
      <c r="F14" s="23"/>
      <c r="G14" s="23"/>
      <c r="H14" s="23"/>
      <c r="I14" s="23"/>
      <c r="J14" s="23"/>
      <c r="K14" s="23"/>
      <c r="L14" s="23"/>
      <c r="M14" s="23"/>
      <c r="N14" s="24">
        <f>18584.3+287203.8+4137.9</f>
        <v>309926</v>
      </c>
      <c r="O14" s="24">
        <v>347971</v>
      </c>
      <c r="P14" s="24">
        <f>O14+88.4</f>
        <v>348059.4</v>
      </c>
      <c r="Q14" s="25"/>
      <c r="R14" s="25"/>
      <c r="S14" s="11"/>
      <c r="T14" s="26">
        <v>39882.6</v>
      </c>
      <c r="U14" s="26">
        <v>43645</v>
      </c>
      <c r="V14" s="26">
        <v>46656</v>
      </c>
      <c r="W14" s="26"/>
      <c r="X14" s="11"/>
      <c r="Y14" s="11"/>
      <c r="Z14" s="11"/>
      <c r="AA14" s="11"/>
      <c r="AB14" s="11"/>
      <c r="AC14" s="27"/>
      <c r="AD14" s="27"/>
      <c r="AE14" s="27"/>
      <c r="AF14" s="27"/>
      <c r="AG14" s="27"/>
      <c r="AH14" s="27"/>
      <c r="AI14" s="27"/>
      <c r="AJ14" s="27"/>
    </row>
    <row r="15" spans="1:38" ht="84" customHeight="1" x14ac:dyDescent="0.3">
      <c r="A15" s="28" t="s">
        <v>31</v>
      </c>
      <c r="B15" s="29" t="s">
        <v>32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12721</v>
      </c>
      <c r="L15" s="2">
        <v>12721</v>
      </c>
      <c r="M15" s="2">
        <v>12721</v>
      </c>
      <c r="N15" s="1">
        <v>65547.8</v>
      </c>
      <c r="O15" s="1">
        <f>75780.9</f>
        <v>75780.899999999994</v>
      </c>
      <c r="P15" s="1">
        <v>94808</v>
      </c>
      <c r="Q15" s="30">
        <f>SUM(O15:O16)</f>
        <v>311373.59999999998</v>
      </c>
      <c r="R15" s="30"/>
      <c r="S15" s="31"/>
      <c r="T15" s="32">
        <f>N15+N16</f>
        <v>293856.59999999998</v>
      </c>
      <c r="U15" s="32">
        <f>O15+O16</f>
        <v>311373.59999999998</v>
      </c>
      <c r="V15" s="32">
        <v>352085.7</v>
      </c>
      <c r="W15" s="32">
        <v>354506.8</v>
      </c>
      <c r="X15" s="32">
        <f>W15-U15</f>
        <v>43133.200000000012</v>
      </c>
      <c r="Y15" s="31"/>
      <c r="Z15" s="31"/>
      <c r="AA15" s="31"/>
      <c r="AB15" s="31"/>
      <c r="AC15" s="1">
        <v>119907.8</v>
      </c>
      <c r="AD15" s="1">
        <v>151328.6</v>
      </c>
      <c r="AE15" s="1">
        <v>186510.6</v>
      </c>
      <c r="AF15" s="1">
        <f>580373.9-AF16</f>
        <v>178755.20000000001</v>
      </c>
      <c r="AG15" s="1">
        <v>170204.6</v>
      </c>
      <c r="AH15" s="1">
        <v>205412</v>
      </c>
      <c r="AI15" s="1">
        <v>210642</v>
      </c>
      <c r="AJ15" s="1">
        <v>217903.3</v>
      </c>
      <c r="AL15" s="3">
        <v>30.8</v>
      </c>
    </row>
    <row r="16" spans="1:38" ht="35.25" customHeight="1" x14ac:dyDescent="0.3">
      <c r="A16" s="28" t="s">
        <v>33</v>
      </c>
      <c r="B16" s="29" t="s">
        <v>32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 t="shared" ref="K16:M16" si="0">K15</f>
        <v>12721</v>
      </c>
      <c r="L16" s="2">
        <f t="shared" si="0"/>
        <v>12721</v>
      </c>
      <c r="M16" s="2">
        <f t="shared" si="0"/>
        <v>12721</v>
      </c>
      <c r="N16" s="1">
        <v>228308.8</v>
      </c>
      <c r="O16" s="1">
        <f>4851.8+145196.6+35390.2+27004.2+264.8+51234.9+9-16822.4+554.8-1173.5-291.2-10626.5</f>
        <v>235592.69999999998</v>
      </c>
      <c r="P16" s="1">
        <f>254360-23506.2-2775.1</f>
        <v>228078.69999999998</v>
      </c>
      <c r="Q16" s="30"/>
      <c r="R16" s="30">
        <f>SUM(R17:R21)</f>
        <v>99.999999999999986</v>
      </c>
      <c r="S16" s="32"/>
      <c r="T16" s="32"/>
      <c r="U16" s="32"/>
      <c r="V16" s="32"/>
      <c r="W16" s="32"/>
      <c r="X16" s="31"/>
      <c r="Y16" s="31"/>
      <c r="Z16" s="31"/>
      <c r="AA16" s="31"/>
      <c r="AB16" s="31"/>
      <c r="AC16" s="1">
        <v>318342.2</v>
      </c>
      <c r="AD16" s="1">
        <v>339998.1</v>
      </c>
      <c r="AE16" s="1">
        <v>419043.4</v>
      </c>
      <c r="AF16" s="1">
        <v>401618.7</v>
      </c>
      <c r="AG16" s="1">
        <f>556405.9-AG15-39728-1.1+637.9+47000+216.1+61485.1+37290</f>
        <v>493101.30000000005</v>
      </c>
      <c r="AH16" s="1">
        <f>681527.4-AH15</f>
        <v>476115.4</v>
      </c>
      <c r="AI16" s="1">
        <f>698879.9-AI15</f>
        <v>488237.9</v>
      </c>
      <c r="AJ16" s="1">
        <f>722970.6-AJ15</f>
        <v>505067.3</v>
      </c>
      <c r="AL16" s="3">
        <v>69.2</v>
      </c>
    </row>
    <row r="17" spans="1:39" ht="80.55" customHeight="1" x14ac:dyDescent="0.3">
      <c r="A17" s="33" t="s">
        <v>34</v>
      </c>
      <c r="B17" s="29" t="s">
        <v>22</v>
      </c>
      <c r="C17" s="34">
        <v>10232</v>
      </c>
      <c r="D17" s="34">
        <v>10639</v>
      </c>
      <c r="E17" s="34">
        <v>11103</v>
      </c>
      <c r="F17" s="34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12922</v>
      </c>
      <c r="L17" s="2">
        <v>12967</v>
      </c>
      <c r="M17" s="2">
        <v>13028</v>
      </c>
      <c r="N17" s="35">
        <v>71612.03</v>
      </c>
      <c r="O17" s="1">
        <f>R17*R23%+1033.5-449.4+190.7+141.3-623.8-274+1.9</f>
        <v>78108.0366374195</v>
      </c>
      <c r="P17" s="35">
        <f>101715-483.1</f>
        <v>101231.9</v>
      </c>
      <c r="Q17" s="36">
        <f>SUM(O17:O21)</f>
        <v>229296.5</v>
      </c>
      <c r="R17" s="36">
        <f>N17/U22%</f>
        <v>34.00998186755622</v>
      </c>
      <c r="S17" s="32">
        <f>V21*R17%</f>
        <v>71612.03</v>
      </c>
      <c r="T17" s="32">
        <f>D17/T21%</f>
        <v>44.053830227743269</v>
      </c>
      <c r="U17" s="32"/>
      <c r="V17" s="32"/>
      <c r="W17" s="32">
        <f>W21*T17%</f>
        <v>26390.182674948242</v>
      </c>
      <c r="X17" s="31"/>
      <c r="Y17" s="31"/>
      <c r="Z17" s="31"/>
      <c r="AA17" s="31"/>
      <c r="AB17" s="31"/>
      <c r="AC17" s="1">
        <v>121470.39999999999</v>
      </c>
      <c r="AD17" s="1">
        <f>111257+4919.5+0.5+8341.3+1454.6+1100</f>
        <v>127072.90000000001</v>
      </c>
      <c r="AE17" s="1">
        <v>149295.79999999999</v>
      </c>
      <c r="AF17" s="1">
        <f>96738+3005.8</f>
        <v>99743.8</v>
      </c>
      <c r="AG17" s="1">
        <f>90665.3+273.1+8900.2+667+125.4-6164.1</f>
        <v>94466.9</v>
      </c>
      <c r="AH17" s="1">
        <f>96334.4+7656.2</f>
        <v>103990.59999999999</v>
      </c>
      <c r="AI17" s="1">
        <f>98387.8+15620</f>
        <v>114007.8</v>
      </c>
      <c r="AJ17" s="1">
        <f>AI17+601.7</f>
        <v>114609.5</v>
      </c>
    </row>
    <row r="18" spans="1:39" ht="5.85" hidden="1" customHeight="1" x14ac:dyDescent="0.3">
      <c r="A18" s="33" t="s">
        <v>30</v>
      </c>
      <c r="B18" s="37" t="s">
        <v>21</v>
      </c>
      <c r="C18" s="34"/>
      <c r="D18" s="34"/>
      <c r="E18" s="34"/>
      <c r="F18" s="34"/>
      <c r="G18" s="2"/>
      <c r="H18" s="2"/>
      <c r="I18" s="2"/>
      <c r="J18" s="2"/>
      <c r="K18" s="2"/>
      <c r="L18" s="2"/>
      <c r="M18" s="2"/>
      <c r="N18" s="35"/>
      <c r="O18" s="1"/>
      <c r="P18" s="35"/>
      <c r="Q18" s="36"/>
      <c r="R18" s="36"/>
      <c r="S18" s="32"/>
      <c r="T18" s="32"/>
      <c r="U18" s="32"/>
      <c r="V18" s="32"/>
      <c r="W18" s="32"/>
      <c r="X18" s="31"/>
      <c r="Y18" s="31"/>
      <c r="Z18" s="31"/>
      <c r="AA18" s="31"/>
      <c r="AB18" s="31"/>
      <c r="AC18" s="1"/>
      <c r="AD18" s="1"/>
      <c r="AE18" s="1"/>
      <c r="AF18" s="1">
        <f t="shared" ref="AF18:AF20" si="1">AE18</f>
        <v>0</v>
      </c>
      <c r="AG18" s="1"/>
      <c r="AH18" s="1">
        <f t="shared" ref="AH18:AJ20" si="2">AG18</f>
        <v>0</v>
      </c>
      <c r="AI18" s="1">
        <f t="shared" si="2"/>
        <v>0</v>
      </c>
      <c r="AJ18" s="1">
        <f t="shared" si="2"/>
        <v>0</v>
      </c>
    </row>
    <row r="19" spans="1:39" ht="86.25" customHeight="1" x14ac:dyDescent="0.3">
      <c r="A19" s="33" t="s">
        <v>35</v>
      </c>
      <c r="B19" s="29" t="s">
        <v>22</v>
      </c>
      <c r="C19" s="34">
        <v>11072</v>
      </c>
      <c r="D19" s="34">
        <v>11581</v>
      </c>
      <c r="E19" s="34">
        <v>12042</v>
      </c>
      <c r="F19" s="34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14466</v>
      </c>
      <c r="L19" s="2">
        <v>15095</v>
      </c>
      <c r="M19" s="2">
        <v>15511</v>
      </c>
      <c r="N19" s="35">
        <v>114693.01</v>
      </c>
      <c r="O19" s="1">
        <f>R19*R23%+1656.7-720.4+141.3-999.9-439</f>
        <v>124703.2880075446</v>
      </c>
      <c r="P19" s="35">
        <f>110303-483.1</f>
        <v>109819.9</v>
      </c>
      <c r="Q19" s="36"/>
      <c r="R19" s="36">
        <f>N19/U22%</f>
        <v>54.46999883169692</v>
      </c>
      <c r="S19" s="32">
        <f>R19*V21%</f>
        <v>114693.01</v>
      </c>
      <c r="T19" s="32">
        <f>D19/T21%</f>
        <v>47.954451345755693</v>
      </c>
      <c r="U19" s="32">
        <f>D21/T21%</f>
        <v>7.991718426501035</v>
      </c>
      <c r="V19" s="32">
        <f>SUM(T17:U19)</f>
        <v>100</v>
      </c>
      <c r="W19" s="32">
        <f>T19*W21%</f>
        <v>28726.826351966876</v>
      </c>
      <c r="X19" s="31">
        <f>U19*W21%</f>
        <v>4787.3909730848864</v>
      </c>
      <c r="Y19" s="31"/>
      <c r="Z19" s="38">
        <f>SUM(P17:P21)</f>
        <v>229406.8</v>
      </c>
      <c r="AA19" s="31"/>
      <c r="AB19" s="31"/>
      <c r="AC19" s="1">
        <v>129364.8</v>
      </c>
      <c r="AD19" s="1">
        <f>117228+4919.5+8341.3+1507.8-58.5+1100</f>
        <v>133038.1</v>
      </c>
      <c r="AE19" s="1">
        <v>157318.70000000001</v>
      </c>
      <c r="AF19" s="1">
        <f>101937+3167.3-125</f>
        <v>104979.3</v>
      </c>
      <c r="AG19" s="1">
        <f>95537.4-0.2+273.1+8900.2+667+125.4-6164.1</f>
        <v>99338.799999999988</v>
      </c>
      <c r="AH19" s="1">
        <f>101511.3+7656.2</f>
        <v>109167.5</v>
      </c>
      <c r="AI19" s="1">
        <f>103675+15620+1.1</f>
        <v>119296.1</v>
      </c>
      <c r="AJ19" s="1">
        <f>AI19+601.7</f>
        <v>119897.8</v>
      </c>
    </row>
    <row r="20" spans="1:39" ht="8.5500000000000007" hidden="1" customHeight="1" x14ac:dyDescent="0.3">
      <c r="A20" s="33" t="s">
        <v>25</v>
      </c>
      <c r="B20" s="37" t="s">
        <v>21</v>
      </c>
      <c r="C20" s="34"/>
      <c r="D20" s="34"/>
      <c r="E20" s="34"/>
      <c r="F20" s="34"/>
      <c r="G20" s="2"/>
      <c r="H20" s="2"/>
      <c r="I20" s="2"/>
      <c r="J20" s="2"/>
      <c r="K20" s="2"/>
      <c r="L20" s="2"/>
      <c r="M20" s="2"/>
      <c r="N20" s="35"/>
      <c r="O20" s="1"/>
      <c r="P20" s="35"/>
      <c r="Q20" s="36"/>
      <c r="R20" s="36"/>
      <c r="S20" s="32"/>
      <c r="T20" s="32"/>
      <c r="U20" s="32"/>
      <c r="V20" s="32"/>
      <c r="W20" s="32"/>
      <c r="X20" s="31"/>
      <c r="Y20" s="31"/>
      <c r="Z20" s="31"/>
      <c r="AA20" s="31"/>
      <c r="AB20" s="31"/>
      <c r="AC20" s="1"/>
      <c r="AD20" s="1"/>
      <c r="AE20" s="1"/>
      <c r="AF20" s="1">
        <f t="shared" si="1"/>
        <v>0</v>
      </c>
      <c r="AG20" s="1"/>
      <c r="AH20" s="1">
        <f t="shared" si="2"/>
        <v>0</v>
      </c>
      <c r="AI20" s="1">
        <f t="shared" si="2"/>
        <v>0</v>
      </c>
      <c r="AJ20" s="1">
        <f t="shared" si="2"/>
        <v>0</v>
      </c>
    </row>
    <row r="21" spans="1:39" ht="89.25" customHeight="1" x14ac:dyDescent="0.3">
      <c r="A21" s="33" t="s">
        <v>26</v>
      </c>
      <c r="B21" s="29" t="s">
        <v>22</v>
      </c>
      <c r="C21" s="34">
        <v>2226</v>
      </c>
      <c r="D21" s="34">
        <v>1930</v>
      </c>
      <c r="E21" s="34">
        <v>2056</v>
      </c>
      <c r="F21" s="34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2121</v>
      </c>
      <c r="L21" s="2">
        <v>2420</v>
      </c>
      <c r="M21" s="2">
        <v>2674</v>
      </c>
      <c r="N21" s="35">
        <v>24256.76</v>
      </c>
      <c r="O21" s="1">
        <f>R21*R23%+349.6-152-0.1+141.3+0.1-211-93</f>
        <v>26485.175355035906</v>
      </c>
      <c r="P21" s="35">
        <f>18838-483</f>
        <v>18355</v>
      </c>
      <c r="Q21" s="36"/>
      <c r="R21" s="36">
        <f>N21/U22%</f>
        <v>11.520019300746858</v>
      </c>
      <c r="S21" s="32">
        <f>R21*V21%</f>
        <v>24256.76</v>
      </c>
      <c r="T21" s="32">
        <f>D17+D19+D21</f>
        <v>24150</v>
      </c>
      <c r="U21" s="32">
        <f>O17+O19+O21</f>
        <v>229296.5</v>
      </c>
      <c r="V21" s="32">
        <v>210561.8</v>
      </c>
      <c r="W21" s="32">
        <f>38662.8+21080.8+160.8</f>
        <v>59904.400000000009</v>
      </c>
      <c r="X21" s="31"/>
      <c r="Y21" s="32">
        <f>SUM(W17:X19)</f>
        <v>59904.400000000009</v>
      </c>
      <c r="Z21" s="31"/>
      <c r="AA21" s="31"/>
      <c r="AB21" s="31"/>
      <c r="AC21" s="1">
        <v>23434.400000000001</v>
      </c>
      <c r="AD21" s="1">
        <f>20831+4919.5+8341.2+413.4+1100</f>
        <v>35605.1</v>
      </c>
      <c r="AE21" s="1">
        <v>42207.5</v>
      </c>
      <c r="AF21" s="1">
        <f>27348.9+0.4+849.8</f>
        <v>28199.100000000002</v>
      </c>
      <c r="AG21" s="1">
        <f>25632+273.1+8900.1+667+2+125.4-6164.2</f>
        <v>29435.399999999998</v>
      </c>
      <c r="AH21" s="1">
        <f>27234.7+7656.2</f>
        <v>34890.9</v>
      </c>
      <c r="AI21" s="1">
        <f>27815.3+15620</f>
        <v>43435.3</v>
      </c>
      <c r="AJ21" s="1">
        <f>AI21+601.7-1.1</f>
        <v>44035.9</v>
      </c>
    </row>
    <row r="22" spans="1:39" ht="68.25" customHeight="1" x14ac:dyDescent="0.3">
      <c r="A22" s="33" t="s">
        <v>36</v>
      </c>
      <c r="B22" s="39" t="s">
        <v>51</v>
      </c>
      <c r="C22" s="34">
        <v>6606</v>
      </c>
      <c r="D22" s="34">
        <f>5975+296</f>
        <v>6271</v>
      </c>
      <c r="E22" s="34">
        <v>1292004</v>
      </c>
      <c r="F22" s="34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f>900249+680635</f>
        <v>1580884</v>
      </c>
      <c r="L22" s="2">
        <f t="shared" si="3"/>
        <v>1580884</v>
      </c>
      <c r="M22" s="2">
        <f t="shared" si="3"/>
        <v>1580884</v>
      </c>
      <c r="N22" s="35">
        <v>85039.7</v>
      </c>
      <c r="O22" s="35">
        <f>88740+1253.7-579.4-238</f>
        <v>89176.3</v>
      </c>
      <c r="P22" s="35">
        <f>94414-792</f>
        <v>93622</v>
      </c>
      <c r="Q22" s="36">
        <f>SUM(O22:O23)</f>
        <v>135009.1</v>
      </c>
      <c r="R22" s="36"/>
      <c r="S22" s="32">
        <f>SUM(S17:S21)</f>
        <v>210561.8</v>
      </c>
      <c r="T22" s="32">
        <f>D22+D23</f>
        <v>7595</v>
      </c>
      <c r="U22" s="32">
        <f>SUM(N17:N21)</f>
        <v>210561.8</v>
      </c>
      <c r="V22" s="32">
        <f>U22+T27</f>
        <v>210561.8</v>
      </c>
      <c r="W22" s="32"/>
      <c r="X22" s="31"/>
      <c r="Y22" s="31"/>
      <c r="Z22" s="31"/>
      <c r="AA22" s="31"/>
      <c r="AB22" s="38">
        <f>SUM(P22:P23)</f>
        <v>143892</v>
      </c>
      <c r="AC22" s="1">
        <v>109088.3</v>
      </c>
      <c r="AD22" s="1">
        <f>128886.5+471.8-19.3</f>
        <v>129339</v>
      </c>
      <c r="AE22" s="1">
        <f>134528.6+9630.1+694.5</f>
        <v>144853.20000000001</v>
      </c>
      <c r="AF22" s="1">
        <f>151630.8+16221.1+13264.8-15159.3</f>
        <v>165957.4</v>
      </c>
      <c r="AG22" s="1">
        <f>178502.7+41172.9+57-1911.4+10003.3+80-29084-5247.5</f>
        <v>193573</v>
      </c>
      <c r="AH22" s="1">
        <v>200965.8</v>
      </c>
      <c r="AI22" s="1">
        <v>208276</v>
      </c>
      <c r="AJ22" s="1">
        <v>218142</v>
      </c>
      <c r="AM22" s="3">
        <v>67.099999999999994</v>
      </c>
    </row>
    <row r="23" spans="1:39" ht="101.25" customHeight="1" x14ac:dyDescent="0.3">
      <c r="A23" s="33" t="s">
        <v>37</v>
      </c>
      <c r="B23" s="39" t="s">
        <v>51</v>
      </c>
      <c r="C23" s="34">
        <v>1399</v>
      </c>
      <c r="D23" s="34">
        <f>400+388+127+409</f>
        <v>1324</v>
      </c>
      <c r="E23" s="34">
        <v>697715</v>
      </c>
      <c r="F23" s="34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794461</v>
      </c>
      <c r="L23" s="2">
        <v>1067383</v>
      </c>
      <c r="M23" s="2">
        <f t="shared" si="3"/>
        <v>1067383</v>
      </c>
      <c r="N23" s="35">
        <v>44344.1</v>
      </c>
      <c r="O23" s="35">
        <f>12549+7197.3+7510.9+8115.1+4739+202.4+2.3+6611.4+421.1-109.1-978.3-36-392.3</f>
        <v>45832.799999999996</v>
      </c>
      <c r="P23" s="35">
        <f>51062-792</f>
        <v>50270</v>
      </c>
      <c r="Q23" s="36"/>
      <c r="R23" s="36">
        <v>229602.7</v>
      </c>
      <c r="S23" s="31"/>
      <c r="T23" s="32">
        <f>O22+O23</f>
        <v>135009.1</v>
      </c>
      <c r="U23" s="32">
        <f>T23+U21</f>
        <v>364305.6</v>
      </c>
      <c r="V23" s="32">
        <v>997353.2</v>
      </c>
      <c r="W23" s="32">
        <f>V23-U23</f>
        <v>633047.6</v>
      </c>
      <c r="X23" s="31"/>
      <c r="Y23" s="31">
        <f>O22/T23%</f>
        <v>66.052066119987458</v>
      </c>
      <c r="Z23" s="31">
        <f>O23/T23%</f>
        <v>33.947933880012528</v>
      </c>
      <c r="AA23" s="31">
        <f>SUM(Y23:Z23)</f>
        <v>99.999999999999986</v>
      </c>
      <c r="AB23" s="32">
        <v>148517.6</v>
      </c>
      <c r="AC23" s="1">
        <v>57968.2</v>
      </c>
      <c r="AD23" s="1">
        <f>62949.9+237.2</f>
        <v>63187.1</v>
      </c>
      <c r="AE23" s="1">
        <f>73077.3+387.2</f>
        <v>73464.5</v>
      </c>
      <c r="AF23" s="1">
        <f>82367.3+6503.9</f>
        <v>88871.2</v>
      </c>
      <c r="AG23" s="1">
        <v>87919.2</v>
      </c>
      <c r="AH23" s="1">
        <f>302204.3-AH22</f>
        <v>101238.5</v>
      </c>
      <c r="AI23" s="1">
        <f>313197.6-AI22</f>
        <v>104921.59999999998</v>
      </c>
      <c r="AJ23" s="1">
        <f>328032.7-AJ22</f>
        <v>109890.70000000001</v>
      </c>
      <c r="AM23" s="3">
        <v>32.9</v>
      </c>
    </row>
    <row r="24" spans="1:39" ht="266.25" hidden="1" customHeight="1" x14ac:dyDescent="0.3">
      <c r="A24" s="37" t="s">
        <v>27</v>
      </c>
      <c r="B24" s="37" t="s">
        <v>23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  <c r="O24" s="35">
        <v>327107.3</v>
      </c>
      <c r="P24" s="35"/>
      <c r="Q24" s="36"/>
      <c r="R24" s="36"/>
      <c r="S24" s="31"/>
      <c r="T24" s="32"/>
      <c r="U24" s="32"/>
      <c r="V24" s="32"/>
      <c r="W24" s="32"/>
      <c r="X24" s="31"/>
      <c r="Y24" s="31"/>
      <c r="Z24" s="31"/>
      <c r="AA24" s="31"/>
      <c r="AB24" s="31"/>
      <c r="AC24" s="40"/>
      <c r="AD24" s="40"/>
      <c r="AE24" s="40"/>
      <c r="AF24" s="40"/>
      <c r="AG24" s="40"/>
      <c r="AH24" s="40"/>
      <c r="AI24" s="40"/>
      <c r="AJ24" s="40"/>
    </row>
    <row r="25" spans="1:39" ht="169.5" hidden="1" customHeight="1" x14ac:dyDescent="0.3">
      <c r="A25" s="37" t="s">
        <v>28</v>
      </c>
      <c r="B25" s="37" t="s">
        <v>24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5"/>
      <c r="O25" s="35"/>
      <c r="P25" s="35"/>
      <c r="Q25" s="36"/>
      <c r="R25" s="36"/>
      <c r="S25" s="31"/>
      <c r="T25" s="32"/>
      <c r="U25" s="32"/>
      <c r="V25" s="32"/>
      <c r="W25" s="32"/>
      <c r="X25" s="31"/>
      <c r="Y25" s="31"/>
      <c r="Z25" s="31"/>
      <c r="AA25" s="31"/>
      <c r="AB25" s="31"/>
      <c r="AC25" s="40"/>
      <c r="AD25" s="40"/>
      <c r="AE25" s="40"/>
      <c r="AF25" s="40"/>
      <c r="AG25" s="40"/>
      <c r="AH25" s="40"/>
      <c r="AI25" s="40"/>
      <c r="AJ25" s="40"/>
    </row>
    <row r="26" spans="1:39" ht="22.65" hidden="1" customHeight="1" x14ac:dyDescent="0.3">
      <c r="A26" s="41" t="s">
        <v>29</v>
      </c>
      <c r="B26" s="41" t="s">
        <v>23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36"/>
      <c r="R26" s="36"/>
      <c r="S26" s="31"/>
      <c r="T26" s="32"/>
      <c r="U26" s="32"/>
      <c r="V26" s="32"/>
      <c r="W26" s="32"/>
      <c r="X26" s="31"/>
      <c r="Y26" s="31"/>
      <c r="Z26" s="31"/>
      <c r="AA26" s="31"/>
      <c r="AB26" s="31"/>
      <c r="AC26" s="44"/>
      <c r="AD26" s="44"/>
      <c r="AE26" s="44"/>
      <c r="AF26" s="44"/>
      <c r="AG26" s="44"/>
      <c r="AH26" s="44"/>
      <c r="AI26" s="44"/>
      <c r="AJ26" s="44"/>
    </row>
    <row r="27" spans="1:39" ht="22.65" customHeight="1" x14ac:dyDescent="0.3">
      <c r="A27" s="118" t="s">
        <v>66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1"/>
    </row>
    <row r="28" spans="1:39" ht="21" customHeight="1" x14ac:dyDescent="0.3">
      <c r="A28" s="122" t="s">
        <v>68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5"/>
    </row>
    <row r="29" spans="1:39" ht="180" customHeight="1" x14ac:dyDescent="0.3">
      <c r="A29" s="45" t="s">
        <v>64</v>
      </c>
      <c r="B29" s="45" t="s">
        <v>38</v>
      </c>
      <c r="C29" s="42">
        <v>863</v>
      </c>
      <c r="D29" s="42">
        <v>863</v>
      </c>
      <c r="E29" s="42">
        <v>863</v>
      </c>
      <c r="F29" s="42">
        <v>863</v>
      </c>
      <c r="G29" s="42">
        <v>793</v>
      </c>
      <c r="H29" s="42">
        <v>793</v>
      </c>
      <c r="I29" s="42">
        <v>793</v>
      </c>
      <c r="J29" s="42">
        <v>685</v>
      </c>
      <c r="K29" s="42">
        <f>J29</f>
        <v>685</v>
      </c>
      <c r="L29" s="42">
        <v>685</v>
      </c>
      <c r="M29" s="42">
        <v>445</v>
      </c>
      <c r="N29" s="43">
        <v>4461.8999999999996</v>
      </c>
      <c r="O29" s="43">
        <f>4612.1-1.5</f>
        <v>4610.6000000000004</v>
      </c>
      <c r="P29" s="46">
        <f>4612.1-3.8</f>
        <v>4608.3</v>
      </c>
      <c r="Q29" s="30"/>
      <c r="R29" s="30"/>
      <c r="S29" s="31"/>
      <c r="T29" s="32">
        <f>N17+N19+N21+N22+N23</f>
        <v>339945.6</v>
      </c>
      <c r="U29" s="32">
        <f>O17+O19+O21+O22+O23</f>
        <v>364305.6</v>
      </c>
      <c r="V29" s="32"/>
      <c r="W29" s="32"/>
      <c r="X29" s="31"/>
      <c r="Y29" s="31"/>
      <c r="Z29" s="31"/>
      <c r="AA29" s="31"/>
      <c r="AB29" s="31"/>
      <c r="AC29" s="46">
        <v>3485.5</v>
      </c>
      <c r="AD29" s="46">
        <v>4945.5</v>
      </c>
      <c r="AE29" s="46">
        <v>3883.5</v>
      </c>
      <c r="AF29" s="1">
        <f>3961.1+138.4-235.3</f>
        <v>3864.2</v>
      </c>
      <c r="AG29" s="1">
        <f>3992.2+19.8+202.4-1003.1-4.7</f>
        <v>3206.6</v>
      </c>
      <c r="AH29" s="1">
        <f>4201.6+688.4</f>
        <v>4890</v>
      </c>
      <c r="AI29" s="1">
        <f>4402.8+680</f>
        <v>5082.8</v>
      </c>
      <c r="AJ29" s="1">
        <f>AI29+200</f>
        <v>5282.8</v>
      </c>
    </row>
    <row r="30" spans="1:39" ht="53.25" customHeight="1" x14ac:dyDescent="0.3">
      <c r="A30" s="29" t="s">
        <v>55</v>
      </c>
      <c r="B30" s="29" t="s">
        <v>22</v>
      </c>
      <c r="C30" s="34">
        <v>0</v>
      </c>
      <c r="D30" s="34">
        <v>0</v>
      </c>
      <c r="E30" s="34">
        <v>0</v>
      </c>
      <c r="F30" s="34">
        <v>500</v>
      </c>
      <c r="G30" s="34">
        <v>0</v>
      </c>
      <c r="H30" s="34">
        <v>550</v>
      </c>
      <c r="I30" s="34">
        <v>550</v>
      </c>
      <c r="J30" s="34">
        <v>415</v>
      </c>
      <c r="K30" s="34">
        <v>415</v>
      </c>
      <c r="L30" s="34">
        <v>415</v>
      </c>
      <c r="M30" s="34">
        <v>405</v>
      </c>
      <c r="N30" s="35">
        <v>0</v>
      </c>
      <c r="O30" s="35">
        <v>0</v>
      </c>
      <c r="P30" s="1">
        <v>0</v>
      </c>
      <c r="Q30" s="1"/>
      <c r="R30" s="1"/>
      <c r="S30" s="40"/>
      <c r="T30" s="47">
        <f>N18+N20+N22+N23+N24</f>
        <v>129383.79999999999</v>
      </c>
      <c r="U30" s="47">
        <f>O18+O20+O22+O23+O24</f>
        <v>462116.4</v>
      </c>
      <c r="V30" s="47"/>
      <c r="W30" s="47"/>
      <c r="X30" s="40"/>
      <c r="Y30" s="40"/>
      <c r="Z30" s="40"/>
      <c r="AA30" s="40"/>
      <c r="AB30" s="40"/>
      <c r="AC30" s="1">
        <v>1305.2</v>
      </c>
      <c r="AD30" s="1">
        <v>0</v>
      </c>
      <c r="AE30" s="1">
        <v>2277.9</v>
      </c>
      <c r="AF30" s="1">
        <f>2323.4-235.4</f>
        <v>2088</v>
      </c>
      <c r="AG30" s="1">
        <f>2341.6-552.2</f>
        <v>1789.3999999999999</v>
      </c>
      <c r="AH30" s="1">
        <f>7357.7-AH29</f>
        <v>2467.6999999999998</v>
      </c>
      <c r="AI30" s="1">
        <f>7737.1-AI29</f>
        <v>2654.3</v>
      </c>
      <c r="AJ30" s="1">
        <f>8094.8-AJ29</f>
        <v>2812</v>
      </c>
    </row>
    <row r="31" spans="1:39" ht="15" hidden="1" customHeight="1" x14ac:dyDescent="0.3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50"/>
      <c r="O31" s="50"/>
      <c r="P31" s="51"/>
      <c r="Q31" s="52"/>
      <c r="R31" s="52"/>
      <c r="T31" s="53"/>
      <c r="U31" s="53"/>
      <c r="V31" s="53"/>
      <c r="W31" s="53"/>
    </row>
    <row r="32" spans="1:39" ht="15" hidden="1" customHeight="1" x14ac:dyDescent="0.3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6"/>
      <c r="O32" s="56"/>
      <c r="P32" s="57"/>
      <c r="Q32" s="52"/>
      <c r="R32" s="52"/>
      <c r="T32" s="53"/>
      <c r="U32" s="53"/>
      <c r="V32" s="53"/>
      <c r="W32" s="53"/>
    </row>
    <row r="33" spans="1:36" ht="15" hidden="1" customHeight="1" x14ac:dyDescent="0.3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  <c r="O33" s="56"/>
      <c r="P33" s="57"/>
      <c r="Q33" s="52"/>
      <c r="R33" s="52"/>
      <c r="T33" s="53"/>
      <c r="U33" s="53"/>
      <c r="V33" s="53"/>
      <c r="W33" s="53"/>
    </row>
    <row r="34" spans="1:36" ht="68.099999999999994" hidden="1" x14ac:dyDescent="0.3">
      <c r="A34" s="58" t="s">
        <v>5</v>
      </c>
      <c r="B34" s="57" t="s">
        <v>8</v>
      </c>
      <c r="C34" s="59">
        <v>10232</v>
      </c>
      <c r="D34" s="59">
        <v>10125</v>
      </c>
      <c r="E34" s="59">
        <v>10108</v>
      </c>
      <c r="F34" s="59"/>
      <c r="G34" s="59"/>
      <c r="H34" s="59"/>
      <c r="I34" s="59"/>
      <c r="J34" s="59"/>
      <c r="K34" s="59"/>
      <c r="L34" s="59"/>
      <c r="M34" s="59"/>
      <c r="N34" s="57">
        <f>T39*34.01%</f>
        <v>74458.739189999993</v>
      </c>
      <c r="O34" s="57">
        <f>U39*34.01%</f>
        <v>84125.979659999997</v>
      </c>
      <c r="P34" s="57">
        <f>V39*34.01%</f>
        <v>78761.854439999996</v>
      </c>
      <c r="Q34" s="52"/>
      <c r="R34" s="52"/>
      <c r="T34" s="53">
        <f>N34/T37%</f>
        <v>34.01</v>
      </c>
      <c r="U34" s="53">
        <v>34.01</v>
      </c>
      <c r="V34" s="53"/>
      <c r="W34" s="53"/>
    </row>
    <row r="35" spans="1:36" ht="68.099999999999994" hidden="1" x14ac:dyDescent="0.3">
      <c r="A35" s="58" t="s">
        <v>6</v>
      </c>
      <c r="B35" s="57" t="s">
        <v>8</v>
      </c>
      <c r="C35" s="59">
        <v>11072</v>
      </c>
      <c r="D35" s="59">
        <v>11794</v>
      </c>
      <c r="E35" s="59">
        <v>12256</v>
      </c>
      <c r="F35" s="59"/>
      <c r="G35" s="59"/>
      <c r="H35" s="59"/>
      <c r="I35" s="59"/>
      <c r="J35" s="59"/>
      <c r="K35" s="59"/>
      <c r="L35" s="59"/>
      <c r="M35" s="59"/>
      <c r="N35" s="57">
        <f>T39*54.47%</f>
        <v>119252.20592999998</v>
      </c>
      <c r="O35" s="57">
        <f>U39*54.47%</f>
        <v>134735.14001999999</v>
      </c>
      <c r="P35" s="57">
        <f>V39*54.47%</f>
        <v>126144.02267999999</v>
      </c>
      <c r="Q35" s="52"/>
      <c r="R35" s="52"/>
      <c r="T35" s="53">
        <f>N35/T37%</f>
        <v>54.469999999999992</v>
      </c>
      <c r="U35" s="53">
        <v>54.47</v>
      </c>
      <c r="V35" s="53"/>
      <c r="W35" s="53">
        <f>C34+C35+C36</f>
        <v>23530</v>
      </c>
    </row>
    <row r="36" spans="1:36" ht="68.099999999999994" hidden="1" x14ac:dyDescent="0.3">
      <c r="A36" s="58" t="s">
        <v>7</v>
      </c>
      <c r="B36" s="57" t="s">
        <v>8</v>
      </c>
      <c r="C36" s="59">
        <v>2226</v>
      </c>
      <c r="D36" s="59">
        <v>2412</v>
      </c>
      <c r="E36" s="59">
        <v>2490</v>
      </c>
      <c r="F36" s="59"/>
      <c r="G36" s="59"/>
      <c r="H36" s="59"/>
      <c r="I36" s="59"/>
      <c r="J36" s="59"/>
      <c r="K36" s="59"/>
      <c r="L36" s="59"/>
      <c r="M36" s="59"/>
      <c r="N36" s="57">
        <f>T39*11.52%</f>
        <v>25220.954879999998</v>
      </c>
      <c r="O36" s="57">
        <f>U39*11.52%</f>
        <v>28495.480319999999</v>
      </c>
      <c r="P36" s="57">
        <f>V39*11.52%</f>
        <v>26678.522879999997</v>
      </c>
      <c r="Q36" s="52"/>
      <c r="R36" s="52"/>
      <c r="T36" s="53">
        <f>N36/T37%</f>
        <v>11.52</v>
      </c>
      <c r="U36" s="53">
        <v>11.52</v>
      </c>
      <c r="V36" s="53"/>
      <c r="W36" s="53">
        <f>SUM(N34:N36)</f>
        <v>218931.9</v>
      </c>
    </row>
    <row r="37" spans="1:36" ht="55.05" hidden="1" customHeight="1" x14ac:dyDescent="0.3">
      <c r="A37" s="58" t="s">
        <v>9</v>
      </c>
      <c r="B37" s="60" t="s">
        <v>11</v>
      </c>
      <c r="C37" s="59">
        <v>8005</v>
      </c>
      <c r="D37" s="59">
        <v>8120</v>
      </c>
      <c r="E37" s="59">
        <v>8190</v>
      </c>
      <c r="F37" s="59"/>
      <c r="G37" s="59"/>
      <c r="H37" s="59"/>
      <c r="I37" s="59"/>
      <c r="J37" s="59"/>
      <c r="K37" s="59"/>
      <c r="L37" s="59"/>
      <c r="M37" s="59"/>
      <c r="N37" s="57">
        <f>133413.4-1740.4+444.8-119.7</f>
        <v>131998.09999999998</v>
      </c>
      <c r="O37" s="57">
        <v>137926.9</v>
      </c>
      <c r="P37" s="57">
        <v>137878.9</v>
      </c>
      <c r="Q37" s="52"/>
      <c r="R37" s="52"/>
      <c r="T37" s="53">
        <f>N34+N35+N36</f>
        <v>218931.9</v>
      </c>
      <c r="U37" s="53">
        <f>O34+O35+O36</f>
        <v>247356.6</v>
      </c>
      <c r="V37" s="53">
        <f>P34+P35+P36</f>
        <v>231584.4</v>
      </c>
      <c r="W37" s="53"/>
    </row>
    <row r="38" spans="1:36" ht="28.05" hidden="1" customHeight="1" x14ac:dyDescent="0.3">
      <c r="A38" s="58"/>
      <c r="B38" s="60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7">
        <f>SUM(N14:N37)</f>
        <v>1299120.1000000001</v>
      </c>
      <c r="O38" s="57">
        <f>SUM(O14:O37)</f>
        <v>1740651.6</v>
      </c>
      <c r="P38" s="57">
        <f>SUM(P14:P37)</f>
        <v>1418316.4999999998</v>
      </c>
      <c r="Q38" s="52"/>
      <c r="R38" s="52"/>
      <c r="T38" s="53"/>
      <c r="U38" s="53"/>
      <c r="V38" s="53"/>
      <c r="W38" s="53"/>
    </row>
    <row r="39" spans="1:36" ht="17.100000000000001" hidden="1" x14ac:dyDescent="0.3">
      <c r="A39" s="96" t="s">
        <v>18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8"/>
      <c r="Q39" s="61"/>
      <c r="R39" s="61"/>
      <c r="T39" s="62">
        <f>70708.3+284359.6-132117.8+119.7-4137.9</f>
        <v>218931.9</v>
      </c>
      <c r="U39" s="62">
        <v>247356.6</v>
      </c>
      <c r="V39" s="62">
        <v>231584.4</v>
      </c>
      <c r="W39" s="53"/>
      <c r="Z39" s="53">
        <f>T39+N37</f>
        <v>350930</v>
      </c>
    </row>
    <row r="40" spans="1:36" ht="17.100000000000001" hidden="1" x14ac:dyDescent="0.3">
      <c r="A40" s="96" t="s">
        <v>17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8"/>
      <c r="Q40" s="61"/>
      <c r="R40" s="61"/>
      <c r="T40" s="53">
        <f>T37-T39</f>
        <v>0</v>
      </c>
      <c r="U40" s="53">
        <f>U37-U39</f>
        <v>0</v>
      </c>
      <c r="V40" s="53">
        <f>V37-V39</f>
        <v>0</v>
      </c>
      <c r="W40" s="53"/>
    </row>
    <row r="41" spans="1:36" ht="51" hidden="1" x14ac:dyDescent="0.3">
      <c r="A41" s="58" t="s">
        <v>12</v>
      </c>
      <c r="B41" s="63"/>
      <c r="C41" s="64">
        <v>1200</v>
      </c>
      <c r="D41" s="64">
        <v>1300</v>
      </c>
      <c r="E41" s="64">
        <v>1400</v>
      </c>
      <c r="F41" s="64"/>
      <c r="G41" s="64"/>
      <c r="H41" s="64"/>
      <c r="I41" s="64"/>
      <c r="J41" s="64"/>
      <c r="K41" s="64"/>
      <c r="L41" s="64"/>
      <c r="M41" s="64"/>
      <c r="N41" s="65">
        <f>814+1857.4</f>
        <v>2671.4</v>
      </c>
      <c r="O41" s="65">
        <v>1000</v>
      </c>
      <c r="P41" s="65">
        <v>814</v>
      </c>
      <c r="Q41" s="66"/>
      <c r="R41" s="66"/>
      <c r="T41" s="53">
        <f>T40+T14</f>
        <v>39882.6</v>
      </c>
      <c r="U41" s="53">
        <f>U40+U14</f>
        <v>43645</v>
      </c>
      <c r="V41" s="53">
        <f>V40+V14</f>
        <v>46656</v>
      </c>
      <c r="W41" s="53"/>
    </row>
    <row r="42" spans="1:36" ht="35.25" hidden="1" customHeight="1" x14ac:dyDescent="0.3">
      <c r="A42" s="129" t="s">
        <v>19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67"/>
      <c r="R42" s="67"/>
      <c r="T42" s="53">
        <v>1064370.8</v>
      </c>
      <c r="U42" s="53">
        <v>1110086.1000000001</v>
      </c>
      <c r="V42" s="53">
        <v>1176839.7</v>
      </c>
      <c r="W42" s="53"/>
    </row>
    <row r="43" spans="1:36" ht="20.25" hidden="1" customHeight="1" x14ac:dyDescent="0.3">
      <c r="A43" s="126" t="s">
        <v>20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8"/>
      <c r="Q43" s="68"/>
      <c r="R43" s="68"/>
      <c r="T43" s="53">
        <f>T34+T35+T36</f>
        <v>99.999999999999986</v>
      </c>
      <c r="U43" s="53"/>
      <c r="V43" s="53"/>
      <c r="W43" s="53"/>
      <c r="Z43" s="53">
        <f>T39+N37</f>
        <v>350930</v>
      </c>
    </row>
    <row r="44" spans="1:36" ht="187.2" hidden="1" x14ac:dyDescent="0.3">
      <c r="A44" s="58" t="s">
        <v>13</v>
      </c>
      <c r="B44" s="60" t="s">
        <v>14</v>
      </c>
      <c r="C44" s="59">
        <v>1970</v>
      </c>
      <c r="D44" s="59">
        <v>1992</v>
      </c>
      <c r="E44" s="59">
        <v>1970</v>
      </c>
      <c r="F44" s="59"/>
      <c r="G44" s="59"/>
      <c r="H44" s="59"/>
      <c r="I44" s="59"/>
      <c r="J44" s="59"/>
      <c r="K44" s="59"/>
      <c r="L44" s="59"/>
      <c r="M44" s="59"/>
      <c r="N44" s="57">
        <f>4499.2-37.3</f>
        <v>4461.8999999999996</v>
      </c>
      <c r="O44" s="57">
        <v>4659.5</v>
      </c>
      <c r="P44" s="57">
        <v>4886.5</v>
      </c>
      <c r="Q44" s="52"/>
      <c r="R44" s="52"/>
      <c r="T44" s="53">
        <f>T42-N38</f>
        <v>-234749.30000000005</v>
      </c>
      <c r="U44" s="53">
        <f>U42-O38</f>
        <v>-630565.5</v>
      </c>
      <c r="V44" s="53">
        <f>V42-P38</f>
        <v>-241476.79999999981</v>
      </c>
      <c r="W44" s="53"/>
      <c r="X44" s="69">
        <f>N14+N34+N35+N36+N37</f>
        <v>660856</v>
      </c>
      <c r="Z44" s="53">
        <f>18584.3+287203.8+70708.3+284359.6</f>
        <v>660856</v>
      </c>
    </row>
    <row r="45" spans="1:36" ht="32.25" customHeight="1" x14ac:dyDescent="0.3">
      <c r="A45" s="70"/>
      <c r="B45" s="71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52"/>
      <c r="O45" s="52"/>
      <c r="P45" s="52"/>
      <c r="Q45" s="52"/>
      <c r="R45" s="52"/>
      <c r="T45" s="53"/>
      <c r="U45" s="53"/>
      <c r="V45" s="53"/>
      <c r="W45" s="53"/>
      <c r="X45" s="69"/>
      <c r="Z45" s="53"/>
    </row>
    <row r="46" spans="1:36" ht="45" customHeight="1" x14ac:dyDescent="0.35">
      <c r="A46" s="112" t="s">
        <v>40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</row>
    <row r="47" spans="1:36" ht="10.5" customHeight="1" x14ac:dyDescent="0.3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1:36" ht="34.5" customHeight="1" x14ac:dyDescent="0.35">
      <c r="A48" s="112" t="s">
        <v>52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</row>
    <row r="49" spans="1:43" ht="9" customHeight="1" x14ac:dyDescent="0.35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</row>
    <row r="50" spans="1:43" ht="39" customHeight="1" x14ac:dyDescent="0.35">
      <c r="A50" s="112" t="s">
        <v>53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</row>
    <row r="51" spans="1:43" ht="12.75" customHeight="1" x14ac:dyDescent="0.35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</row>
    <row r="52" spans="1:43" ht="17.7" hidden="1" x14ac:dyDescent="0.3">
      <c r="A52" s="73"/>
      <c r="B52" s="73" t="s">
        <v>46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7">
        <f t="shared" ref="N52:AJ52" si="4">SUM(N15:N16)</f>
        <v>293856.59999999998</v>
      </c>
      <c r="O52" s="73">
        <f t="shared" si="4"/>
        <v>311373.59999999998</v>
      </c>
      <c r="P52" s="78">
        <f t="shared" si="4"/>
        <v>322886.69999999995</v>
      </c>
      <c r="Q52" s="78">
        <f t="shared" si="4"/>
        <v>311373.59999999998</v>
      </c>
      <c r="R52" s="78">
        <f t="shared" si="4"/>
        <v>99.999999999999986</v>
      </c>
      <c r="S52" s="78">
        <f t="shared" si="4"/>
        <v>0</v>
      </c>
      <c r="T52" s="78">
        <f t="shared" si="4"/>
        <v>293856.59999999998</v>
      </c>
      <c r="U52" s="78">
        <f t="shared" si="4"/>
        <v>311373.59999999998</v>
      </c>
      <c r="V52" s="78">
        <f t="shared" si="4"/>
        <v>352085.7</v>
      </c>
      <c r="W52" s="78">
        <f t="shared" si="4"/>
        <v>354506.8</v>
      </c>
      <c r="X52" s="78">
        <f t="shared" si="4"/>
        <v>43133.200000000012</v>
      </c>
      <c r="Y52" s="78">
        <f t="shared" si="4"/>
        <v>0</v>
      </c>
      <c r="Z52" s="78">
        <f t="shared" si="4"/>
        <v>0</v>
      </c>
      <c r="AA52" s="78">
        <f t="shared" si="4"/>
        <v>0</v>
      </c>
      <c r="AB52" s="78">
        <f t="shared" si="4"/>
        <v>0</v>
      </c>
      <c r="AC52" s="78">
        <f t="shared" si="4"/>
        <v>438250</v>
      </c>
      <c r="AD52" s="78">
        <f t="shared" si="4"/>
        <v>491326.69999999995</v>
      </c>
      <c r="AE52" s="78">
        <f t="shared" si="4"/>
        <v>605554</v>
      </c>
      <c r="AF52" s="78">
        <f>SUM(AF15:AF16)</f>
        <v>580373.9</v>
      </c>
      <c r="AG52" s="87">
        <f>SUM(AG15:AG16)</f>
        <v>663305.9</v>
      </c>
      <c r="AH52" s="78">
        <f t="shared" si="4"/>
        <v>681527.4</v>
      </c>
      <c r="AI52" s="78">
        <f>SUM(AI15:AI16)</f>
        <v>698879.9</v>
      </c>
      <c r="AJ52" s="78">
        <f t="shared" si="4"/>
        <v>722970.6</v>
      </c>
    </row>
    <row r="53" spans="1:43" ht="17.7" hidden="1" x14ac:dyDescent="0.3">
      <c r="A53" s="73"/>
      <c r="B53" s="73" t="s">
        <v>45</v>
      </c>
      <c r="C53" s="73"/>
      <c r="D53" s="79">
        <f t="shared" ref="D53:AJ53" si="5">SUM(D17:D21)</f>
        <v>24150</v>
      </c>
      <c r="E53" s="79">
        <f t="shared" si="5"/>
        <v>25201</v>
      </c>
      <c r="F53" s="79">
        <f t="shared" si="5"/>
        <v>26278</v>
      </c>
      <c r="G53" s="79">
        <f t="shared" si="5"/>
        <v>27180</v>
      </c>
      <c r="H53" s="79">
        <f t="shared" si="5"/>
        <v>27954</v>
      </c>
      <c r="I53" s="79">
        <f t="shared" si="5"/>
        <v>28363</v>
      </c>
      <c r="J53" s="79">
        <f t="shared" si="5"/>
        <v>28615</v>
      </c>
      <c r="K53" s="79">
        <f t="shared" si="5"/>
        <v>29509</v>
      </c>
      <c r="L53" s="79">
        <f t="shared" si="5"/>
        <v>30482</v>
      </c>
      <c r="M53" s="79">
        <f t="shared" si="5"/>
        <v>31213</v>
      </c>
      <c r="N53" s="77">
        <f t="shared" si="5"/>
        <v>210561.8</v>
      </c>
      <c r="O53" s="73">
        <f t="shared" si="5"/>
        <v>229296.5</v>
      </c>
      <c r="P53" s="78">
        <f t="shared" si="5"/>
        <v>229406.8</v>
      </c>
      <c r="Q53" s="78">
        <f t="shared" si="5"/>
        <v>229296.5</v>
      </c>
      <c r="R53" s="78">
        <f t="shared" si="5"/>
        <v>99.999999999999986</v>
      </c>
      <c r="S53" s="78">
        <f t="shared" si="5"/>
        <v>210561.8</v>
      </c>
      <c r="T53" s="78">
        <f t="shared" si="5"/>
        <v>24242.0082815735</v>
      </c>
      <c r="U53" s="78">
        <f t="shared" si="5"/>
        <v>229304.49171842649</v>
      </c>
      <c r="V53" s="78">
        <f t="shared" si="5"/>
        <v>210661.8</v>
      </c>
      <c r="W53" s="78">
        <f t="shared" si="5"/>
        <v>115021.40902691512</v>
      </c>
      <c r="X53" s="78">
        <f t="shared" si="5"/>
        <v>4787.3909730848864</v>
      </c>
      <c r="Y53" s="78">
        <f t="shared" si="5"/>
        <v>59904.400000000009</v>
      </c>
      <c r="Z53" s="78">
        <f t="shared" si="5"/>
        <v>229406.8</v>
      </c>
      <c r="AA53" s="78">
        <f t="shared" si="5"/>
        <v>0</v>
      </c>
      <c r="AB53" s="78">
        <f t="shared" si="5"/>
        <v>0</v>
      </c>
      <c r="AC53" s="78">
        <f t="shared" si="5"/>
        <v>274269.60000000003</v>
      </c>
      <c r="AD53" s="78">
        <f t="shared" si="5"/>
        <v>295716.09999999998</v>
      </c>
      <c r="AE53" s="73">
        <f t="shared" si="5"/>
        <v>348822</v>
      </c>
      <c r="AF53" s="73">
        <f>SUM(AF17:AF21)</f>
        <v>232922.2</v>
      </c>
      <c r="AG53" s="88">
        <f t="shared" si="5"/>
        <v>223241.09999999998</v>
      </c>
      <c r="AH53" s="73">
        <f t="shared" si="5"/>
        <v>248048.99999999997</v>
      </c>
      <c r="AI53" s="73">
        <f t="shared" si="5"/>
        <v>276739.20000000001</v>
      </c>
      <c r="AJ53" s="73">
        <f t="shared" si="5"/>
        <v>278543.2</v>
      </c>
    </row>
    <row r="54" spans="1:43" ht="17.7" hidden="1" x14ac:dyDescent="0.3">
      <c r="A54" s="73"/>
      <c r="B54" s="73" t="s">
        <v>44</v>
      </c>
      <c r="C54" s="73"/>
      <c r="D54" s="79">
        <f t="shared" ref="D54:AJ54" si="6">SUM(D22:D23)</f>
        <v>7595</v>
      </c>
      <c r="E54" s="79">
        <f t="shared" si="6"/>
        <v>1989719</v>
      </c>
      <c r="F54" s="79">
        <f t="shared" si="6"/>
        <v>1989719</v>
      </c>
      <c r="G54" s="79">
        <f t="shared" si="6"/>
        <v>1969150</v>
      </c>
      <c r="H54" s="79">
        <f t="shared" si="6"/>
        <v>1969150</v>
      </c>
      <c r="I54" s="79">
        <f t="shared" si="6"/>
        <v>2472612</v>
      </c>
      <c r="J54" s="79">
        <f t="shared" si="6"/>
        <v>2414567</v>
      </c>
      <c r="K54" s="79">
        <f t="shared" si="6"/>
        <v>2375345</v>
      </c>
      <c r="L54" s="79">
        <f t="shared" si="6"/>
        <v>2648267</v>
      </c>
      <c r="M54" s="79">
        <f t="shared" si="6"/>
        <v>2648267</v>
      </c>
      <c r="N54" s="77">
        <f t="shared" si="6"/>
        <v>129383.79999999999</v>
      </c>
      <c r="O54" s="73">
        <f t="shared" si="6"/>
        <v>135009.1</v>
      </c>
      <c r="P54" s="78">
        <f t="shared" si="6"/>
        <v>143892</v>
      </c>
      <c r="Q54" s="78">
        <f t="shared" si="6"/>
        <v>135009.1</v>
      </c>
      <c r="R54" s="78">
        <f t="shared" si="6"/>
        <v>229602.7</v>
      </c>
      <c r="S54" s="78">
        <f t="shared" si="6"/>
        <v>210561.8</v>
      </c>
      <c r="T54" s="78">
        <f t="shared" si="6"/>
        <v>142604.1</v>
      </c>
      <c r="U54" s="78">
        <f t="shared" si="6"/>
        <v>574867.39999999991</v>
      </c>
      <c r="V54" s="78">
        <f t="shared" si="6"/>
        <v>1207915</v>
      </c>
      <c r="W54" s="78">
        <f t="shared" si="6"/>
        <v>633047.6</v>
      </c>
      <c r="X54" s="78">
        <f t="shared" si="6"/>
        <v>0</v>
      </c>
      <c r="Y54" s="78">
        <f t="shared" si="6"/>
        <v>66.052066119987458</v>
      </c>
      <c r="Z54" s="78">
        <f t="shared" si="6"/>
        <v>33.947933880012528</v>
      </c>
      <c r="AA54" s="78">
        <f t="shared" si="6"/>
        <v>99.999999999999986</v>
      </c>
      <c r="AB54" s="78">
        <f t="shared" si="6"/>
        <v>292409.59999999998</v>
      </c>
      <c r="AC54" s="78">
        <f t="shared" si="6"/>
        <v>167056.5</v>
      </c>
      <c r="AD54" s="78">
        <f t="shared" si="6"/>
        <v>192526.1</v>
      </c>
      <c r="AE54" s="78">
        <f t="shared" si="6"/>
        <v>218317.7</v>
      </c>
      <c r="AF54" s="78">
        <f t="shared" si="6"/>
        <v>254828.59999999998</v>
      </c>
      <c r="AG54" s="87">
        <f>SUM(AG22:AG23)</f>
        <v>281492.2</v>
      </c>
      <c r="AH54" s="78">
        <f>SUM(AH22:AH23)</f>
        <v>302204.3</v>
      </c>
      <c r="AI54" s="78">
        <f t="shared" si="6"/>
        <v>313197.59999999998</v>
      </c>
      <c r="AJ54" s="78">
        <f t="shared" si="6"/>
        <v>328032.7</v>
      </c>
    </row>
    <row r="55" spans="1:43" ht="17.7" hidden="1" x14ac:dyDescent="0.3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7"/>
      <c r="O55" s="73"/>
      <c r="P55" s="73"/>
      <c r="Q55" s="73"/>
      <c r="R55" s="73"/>
      <c r="AG55" s="89"/>
    </row>
    <row r="56" spans="1:43" ht="17.7" hidden="1" x14ac:dyDescent="0.3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7">
        <f>SUM(N53:N54)</f>
        <v>339945.6</v>
      </c>
      <c r="O56" s="73">
        <f>SUM(O53:O54)</f>
        <v>364305.6</v>
      </c>
      <c r="P56" s="73">
        <f>SUM(P53:P54)</f>
        <v>373298.8</v>
      </c>
      <c r="Q56" s="73">
        <f t="shared" ref="Q56:AB56" si="7">SUM(Q53:Q54)</f>
        <v>364305.6</v>
      </c>
      <c r="R56" s="73">
        <f t="shared" si="7"/>
        <v>229702.7</v>
      </c>
      <c r="S56" s="73">
        <f t="shared" si="7"/>
        <v>421123.6</v>
      </c>
      <c r="T56" s="73">
        <f t="shared" si="7"/>
        <v>166846.10828157351</v>
      </c>
      <c r="U56" s="73">
        <f t="shared" si="7"/>
        <v>804171.89171842637</v>
      </c>
      <c r="V56" s="73">
        <f t="shared" si="7"/>
        <v>1418576.8</v>
      </c>
      <c r="W56" s="73">
        <f t="shared" si="7"/>
        <v>748069.00902691507</v>
      </c>
      <c r="X56" s="73">
        <f t="shared" si="7"/>
        <v>4787.3909730848864</v>
      </c>
      <c r="Y56" s="73">
        <f t="shared" si="7"/>
        <v>59970.452066119993</v>
      </c>
      <c r="Z56" s="73">
        <f t="shared" si="7"/>
        <v>229440.74793387999</v>
      </c>
      <c r="AA56" s="73">
        <f t="shared" si="7"/>
        <v>99.999999999999986</v>
      </c>
      <c r="AB56" s="73">
        <f t="shared" si="7"/>
        <v>292409.59999999998</v>
      </c>
      <c r="AC56" s="73">
        <f t="shared" ref="AC56:AI56" si="8">SUM(AC53:AC54)</f>
        <v>441326.10000000003</v>
      </c>
      <c r="AD56" s="73">
        <f t="shared" si="8"/>
        <v>488242.19999999995</v>
      </c>
      <c r="AE56" s="73">
        <f>SUM(AE53:AE54)</f>
        <v>567139.69999999995</v>
      </c>
      <c r="AF56" s="73">
        <f>SUM(AF53:AF54)</f>
        <v>487750.8</v>
      </c>
      <c r="AG56" s="88">
        <f>SUM(AG53:AG54)</f>
        <v>504733.3</v>
      </c>
      <c r="AH56" s="73">
        <f t="shared" si="8"/>
        <v>550253.29999999993</v>
      </c>
      <c r="AI56" s="73">
        <f t="shared" si="8"/>
        <v>589936.80000000005</v>
      </c>
      <c r="AJ56" s="73">
        <f>SUM(AJ53:AJ54)</f>
        <v>606575.9</v>
      </c>
    </row>
    <row r="57" spans="1:43" ht="17.7" hidden="1" x14ac:dyDescent="0.3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7">
        <f>N56+N52</f>
        <v>633802.19999999995</v>
      </c>
      <c r="O57" s="73">
        <f>O56+O52</f>
        <v>675679.2</v>
      </c>
      <c r="P57" s="78">
        <f>P56+P52</f>
        <v>696185.5</v>
      </c>
      <c r="Q57" s="73">
        <f t="shared" ref="Q57:AB57" si="9">Q56+Q52</f>
        <v>675679.2</v>
      </c>
      <c r="R57" s="73">
        <f t="shared" si="9"/>
        <v>229802.7</v>
      </c>
      <c r="S57" s="73">
        <f t="shared" si="9"/>
        <v>421123.6</v>
      </c>
      <c r="T57" s="73">
        <f t="shared" si="9"/>
        <v>460702.70828157349</v>
      </c>
      <c r="U57" s="73">
        <f t="shared" si="9"/>
        <v>1115545.4917184263</v>
      </c>
      <c r="V57" s="73">
        <f t="shared" si="9"/>
        <v>1770662.5</v>
      </c>
      <c r="W57" s="73">
        <f t="shared" si="9"/>
        <v>1102575.8090269151</v>
      </c>
      <c r="X57" s="73">
        <f t="shared" si="9"/>
        <v>47920.590973084894</v>
      </c>
      <c r="Y57" s="73">
        <f t="shared" si="9"/>
        <v>59970.452066119993</v>
      </c>
      <c r="Z57" s="73">
        <f t="shared" si="9"/>
        <v>229440.74793387999</v>
      </c>
      <c r="AA57" s="73">
        <f t="shared" si="9"/>
        <v>99.999999999999986</v>
      </c>
      <c r="AB57" s="73">
        <f t="shared" si="9"/>
        <v>292409.59999999998</v>
      </c>
      <c r="AC57" s="78">
        <f t="shared" ref="AC57:AH57" si="10">AC56+AC52</f>
        <v>879576.10000000009</v>
      </c>
      <c r="AD57" s="78">
        <f t="shared" si="10"/>
        <v>979568.89999999991</v>
      </c>
      <c r="AE57" s="80">
        <f>AE56+AE52</f>
        <v>1172693.7</v>
      </c>
      <c r="AF57" s="80">
        <f>AF56+AF52</f>
        <v>1068124.7</v>
      </c>
      <c r="AG57" s="90">
        <f>AG56+AG52</f>
        <v>1168039.2</v>
      </c>
      <c r="AH57" s="80">
        <f t="shared" si="10"/>
        <v>1231780.7</v>
      </c>
      <c r="AI57" s="80">
        <f>AI56+AI52</f>
        <v>1288816.7000000002</v>
      </c>
      <c r="AJ57" s="80">
        <f>AJ56+AJ52</f>
        <v>1329546.5</v>
      </c>
    </row>
    <row r="58" spans="1:43" ht="17.7" hidden="1" x14ac:dyDescent="0.3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AG58" s="89"/>
    </row>
    <row r="59" spans="1:43" ht="17.7" hidden="1" x14ac:dyDescent="0.3">
      <c r="A59" s="73"/>
      <c r="B59" s="73"/>
      <c r="C59" s="73">
        <f>+O61</f>
        <v>0</v>
      </c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>
        <f>71942.7+292362.9</f>
        <v>364305.60000000003</v>
      </c>
      <c r="P59" s="73">
        <v>366472.3</v>
      </c>
      <c r="Q59" s="73"/>
      <c r="R59" s="73"/>
      <c r="AC59" s="81">
        <v>517553.9</v>
      </c>
      <c r="AD59" s="81">
        <v>517553.9</v>
      </c>
      <c r="AE59" s="81">
        <v>1171612</v>
      </c>
      <c r="AF59" s="82">
        <f>580373.9+232922.2+230943.4+23885.2</f>
        <v>1068124.7000000002</v>
      </c>
      <c r="AG59" s="91">
        <f>663305.9+223241.1+243099.1+38393.1</f>
        <v>1168039.2000000002</v>
      </c>
      <c r="AH59" s="53">
        <f>681527.4+248049+229367.7+72836.6</f>
        <v>1231780.7000000002</v>
      </c>
      <c r="AI59" s="53">
        <f>698879.9+276739.2+247211.7+65985.9</f>
        <v>1288816.7</v>
      </c>
      <c r="AJ59" s="53">
        <f>722970.6+278543.2+262177.8+65854.9</f>
        <v>1329546.5</v>
      </c>
    </row>
    <row r="60" spans="1:43" ht="15.75" hidden="1" x14ac:dyDescent="0.3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>
        <f>O59-O56</f>
        <v>0</v>
      </c>
      <c r="P60" s="83">
        <f>P56-P59</f>
        <v>6826.5</v>
      </c>
      <c r="Q60" s="83"/>
      <c r="R60" s="83"/>
      <c r="AF60" s="53"/>
      <c r="AG60" s="53"/>
      <c r="AH60" s="53"/>
      <c r="AI60" s="53"/>
      <c r="AJ60" s="53"/>
      <c r="AN60" s="3" t="s">
        <v>72</v>
      </c>
      <c r="AO60" s="3">
        <f>AF17/AF53*100</f>
        <v>42.822796624795743</v>
      </c>
      <c r="AQ60" s="3">
        <v>42.8</v>
      </c>
    </row>
    <row r="61" spans="1:43" ht="15.75" hidden="1" x14ac:dyDescent="0.3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AE61" s="53">
        <f t="shared" ref="AE61:AI61" si="11">AE59-AE57</f>
        <v>-1081.6999999999534</v>
      </c>
      <c r="AF61" s="53">
        <f>AF59-AF57</f>
        <v>0</v>
      </c>
      <c r="AG61" s="53">
        <f>AG59-AG57</f>
        <v>0</v>
      </c>
      <c r="AH61" s="53">
        <f t="shared" si="11"/>
        <v>0</v>
      </c>
      <c r="AI61" s="53">
        <f t="shared" si="11"/>
        <v>0</v>
      </c>
      <c r="AJ61" s="53">
        <f>AJ59-AJ57</f>
        <v>0</v>
      </c>
      <c r="AN61" s="3" t="s">
        <v>73</v>
      </c>
      <c r="AO61" s="3">
        <f>AF19/AF53*100</f>
        <v>45.070542867961919</v>
      </c>
      <c r="AQ61" s="3">
        <v>45.1</v>
      </c>
    </row>
    <row r="62" spans="1:43" ht="15.75" hidden="1" x14ac:dyDescent="0.3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AC62" s="69">
        <f>AC59-AC56</f>
        <v>76227.799999999988</v>
      </c>
      <c r="AD62" s="69">
        <f>AD59-AD56</f>
        <v>29311.70000000007</v>
      </c>
      <c r="AE62" s="69">
        <f>AE59-AE56</f>
        <v>604472.30000000005</v>
      </c>
      <c r="AF62" s="69"/>
      <c r="AN62" s="3" t="s">
        <v>74</v>
      </c>
      <c r="AO62" s="3">
        <f>AF21/AF53*100</f>
        <v>12.106660507242333</v>
      </c>
      <c r="AQ62" s="3">
        <v>12.1</v>
      </c>
    </row>
    <row r="63" spans="1:43" ht="15.75" hidden="1" x14ac:dyDescent="0.3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AO63" s="3">
        <f>SUM(AO60:AO62)</f>
        <v>100</v>
      </c>
    </row>
    <row r="64" spans="1:43" ht="15.75" hidden="1" x14ac:dyDescent="0.3">
      <c r="A64" s="83"/>
      <c r="B64" s="83"/>
      <c r="C64" s="83"/>
      <c r="D64" s="83"/>
      <c r="E64" s="83"/>
      <c r="F64" s="83"/>
      <c r="G64" s="83"/>
      <c r="H64" s="83" t="s">
        <v>47</v>
      </c>
      <c r="I64" s="83"/>
      <c r="J64" s="83"/>
      <c r="K64" s="83"/>
      <c r="L64" s="83"/>
      <c r="M64" s="83"/>
      <c r="N64" s="83" t="s">
        <v>46</v>
      </c>
      <c r="O64" s="83">
        <f>21869.2+289504.4</f>
        <v>311373.60000000003</v>
      </c>
      <c r="P64" s="83"/>
      <c r="Q64" s="83"/>
      <c r="R64" s="83"/>
    </row>
    <row r="65" spans="1:36" ht="15" hidden="1" x14ac:dyDescent="0.3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 t="s">
        <v>57</v>
      </c>
      <c r="Q65" s="69"/>
      <c r="R65" s="69"/>
      <c r="AC65" s="69">
        <f t="shared" ref="AC65:AJ65" si="12">AC29+AC30</f>
        <v>4790.7</v>
      </c>
      <c r="AD65" s="69">
        <f t="shared" si="12"/>
        <v>4945.5</v>
      </c>
      <c r="AE65" s="69">
        <f t="shared" si="12"/>
        <v>6161.4</v>
      </c>
      <c r="AF65" s="69">
        <f t="shared" si="12"/>
        <v>5952.2</v>
      </c>
      <c r="AG65" s="69">
        <f t="shared" si="12"/>
        <v>4996</v>
      </c>
      <c r="AH65" s="69">
        <f>AH29+AH30</f>
        <v>7357.7</v>
      </c>
      <c r="AI65" s="69">
        <f t="shared" si="12"/>
        <v>7737.1</v>
      </c>
      <c r="AJ65" s="69">
        <f t="shared" si="12"/>
        <v>8094.8</v>
      </c>
    </row>
    <row r="66" spans="1:36" ht="15" hidden="1" x14ac:dyDescent="0.3">
      <c r="H66" s="3" t="s">
        <v>48</v>
      </c>
      <c r="O66" s="69">
        <f>O52-O64</f>
        <v>0</v>
      </c>
    </row>
    <row r="67" spans="1:36" ht="15" hidden="1" x14ac:dyDescent="0.3">
      <c r="AG67" s="53">
        <v>4996</v>
      </c>
      <c r="AH67" s="53">
        <v>7357.7</v>
      </c>
      <c r="AI67" s="53">
        <v>7737.1</v>
      </c>
      <c r="AJ67" s="53">
        <v>8094.8</v>
      </c>
    </row>
    <row r="68" spans="1:36" ht="15" hidden="1" x14ac:dyDescent="0.3">
      <c r="N68" s="3" t="s">
        <v>49</v>
      </c>
      <c r="AC68" s="53">
        <f>4871.7-91</f>
        <v>4780.7</v>
      </c>
      <c r="AD68" s="53">
        <v>4824.3</v>
      </c>
      <c r="AE68" s="53">
        <v>4955.8</v>
      </c>
      <c r="AF68" s="53"/>
      <c r="AG68" s="53"/>
    </row>
    <row r="69" spans="1:36" ht="15" hidden="1" x14ac:dyDescent="0.3">
      <c r="AC69" s="53">
        <f>AC68-AC65</f>
        <v>-10</v>
      </c>
      <c r="AD69" s="53">
        <f>AD68-AD65</f>
        <v>-121.19999999999982</v>
      </c>
      <c r="AE69" s="53">
        <f>AE68-AE65</f>
        <v>-1205.5999999999995</v>
      </c>
      <c r="AF69" s="53"/>
      <c r="AG69" s="53">
        <f>AG65-AG67</f>
        <v>0</v>
      </c>
      <c r="AH69" s="53">
        <f>AH67-AF71</f>
        <v>7357.7</v>
      </c>
      <c r="AI69" s="53">
        <f t="shared" ref="AI69:AJ69" si="13">AI67-AI65</f>
        <v>0</v>
      </c>
      <c r="AJ69" s="53">
        <f t="shared" si="13"/>
        <v>0</v>
      </c>
    </row>
    <row r="70" spans="1:36" ht="15" hidden="1" x14ac:dyDescent="0.3">
      <c r="N70" s="3" t="s">
        <v>44</v>
      </c>
    </row>
    <row r="71" spans="1:36" ht="15" hidden="1" x14ac:dyDescent="0.3"/>
    <row r="72" spans="1:36" ht="15" hidden="1" x14ac:dyDescent="0.3"/>
    <row r="73" spans="1:36" ht="20.25" hidden="1" x14ac:dyDescent="0.35">
      <c r="F73" s="84"/>
      <c r="G73" s="84" t="s">
        <v>50</v>
      </c>
      <c r="H73" s="84"/>
      <c r="I73" s="84"/>
      <c r="J73" s="84"/>
      <c r="K73" s="84"/>
      <c r="L73" s="84"/>
      <c r="M73" s="84"/>
      <c r="N73" s="84"/>
      <c r="O73" s="85"/>
      <c r="P73" s="85"/>
    </row>
    <row r="74" spans="1:36" ht="15" hidden="1" x14ac:dyDescent="0.3"/>
    <row r="75" spans="1:36" ht="24.3" hidden="1" x14ac:dyDescent="0.45">
      <c r="G75" s="86"/>
      <c r="H75" s="86" t="s">
        <v>77</v>
      </c>
      <c r="I75" s="86"/>
      <c r="J75" s="86"/>
      <c r="K75" s="86"/>
      <c r="L75" s="86"/>
      <c r="M75" s="86"/>
      <c r="N75" s="86"/>
      <c r="O75" s="86"/>
      <c r="P75" s="86"/>
    </row>
    <row r="76" spans="1:36" ht="15" hidden="1" x14ac:dyDescent="0.3"/>
    <row r="77" spans="1:36" ht="15" hidden="1" x14ac:dyDescent="0.3"/>
    <row r="79" spans="1:36" ht="15" hidden="1" x14ac:dyDescent="0.3">
      <c r="AC79" s="53"/>
      <c r="AD79" s="53">
        <v>535078.9</v>
      </c>
      <c r="AE79" s="53">
        <v>618620.69999999995</v>
      </c>
      <c r="AF79" s="53">
        <v>623126.4</v>
      </c>
    </row>
    <row r="80" spans="1:36" ht="15" hidden="1" x14ac:dyDescent="0.3"/>
    <row r="81" spans="30:32" ht="15" hidden="1" x14ac:dyDescent="0.3">
      <c r="AD81" s="53">
        <f>AD79-AD52</f>
        <v>43752.20000000007</v>
      </c>
      <c r="AE81" s="53">
        <f t="shared" ref="AE81" si="14">AE79-AE52</f>
        <v>13066.699999999953</v>
      </c>
      <c r="AF81" s="53">
        <f>AF79-AF52</f>
        <v>42752.5</v>
      </c>
    </row>
  </sheetData>
  <mergeCells count="22">
    <mergeCell ref="A50:AJ50"/>
    <mergeCell ref="A12:AJ12"/>
    <mergeCell ref="A13:AJ13"/>
    <mergeCell ref="A27:AJ27"/>
    <mergeCell ref="A28:AJ28"/>
    <mergeCell ref="A46:AJ46"/>
    <mergeCell ref="A43:P43"/>
    <mergeCell ref="A42:P42"/>
    <mergeCell ref="A48:AJ48"/>
    <mergeCell ref="N7:P7"/>
    <mergeCell ref="N6:P6"/>
    <mergeCell ref="A39:P39"/>
    <mergeCell ref="A40:P40"/>
    <mergeCell ref="A9:A10"/>
    <mergeCell ref="B9:B10"/>
    <mergeCell ref="C9:M9"/>
    <mergeCell ref="N9:AJ9"/>
    <mergeCell ref="AH6:AJ6"/>
    <mergeCell ref="AH7:AJ7"/>
    <mergeCell ref="A8:AJ8"/>
    <mergeCell ref="AD6:AF6"/>
    <mergeCell ref="AD7:AF7"/>
  </mergeCells>
  <printOptions horizontalCentered="1"/>
  <pageMargins left="0.39370078740157483" right="0.39370078740157483" top="0" bottom="0" header="0" footer="0"/>
  <pageSetup paperSize="9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2023-01-09T02:39:31Z</cp:lastPrinted>
  <dcterms:created xsi:type="dcterms:W3CDTF">2014-07-16T02:55:06Z</dcterms:created>
  <dcterms:modified xsi:type="dcterms:W3CDTF">2023-01-16T00:25:58Z</dcterms:modified>
</cp:coreProperties>
</file>