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45"/>
  </bookViews>
  <sheets>
    <sheet name="приложение № 3" sheetId="4" r:id="rId1"/>
  </sheets>
  <externalReferences>
    <externalReference r:id="rId2"/>
  </externalReferences>
  <definedNames>
    <definedName name="OLE_LINK1" localSheetId="0">'приложение № 3'!$B$345</definedName>
    <definedName name="_xlnm.Print_Titles" localSheetId="0">'приложение № 3'!$9:$11</definedName>
    <definedName name="_xlnm.Print_Area" localSheetId="0">'приложение № 3'!$A$1:$AS$509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4" i="4" l="1"/>
  <c r="Q485" i="4"/>
  <c r="P485" i="4"/>
  <c r="P397" i="4"/>
  <c r="P398" i="4"/>
  <c r="P82" i="4"/>
  <c r="P71" i="4"/>
  <c r="P112" i="4" l="1"/>
  <c r="AO20" i="4" l="1"/>
  <c r="P418" i="4" l="1"/>
  <c r="P452" i="4" l="1"/>
  <c r="R279" i="4" l="1"/>
  <c r="Q279" i="4"/>
  <c r="R97" i="4"/>
  <c r="Q71" i="4"/>
  <c r="P445" i="4" l="1"/>
  <c r="P138" i="4" l="1"/>
  <c r="P92" i="4"/>
  <c r="P259" i="4" l="1"/>
  <c r="AT20" i="4" l="1"/>
  <c r="AQ20" i="4"/>
  <c r="R71" i="4" l="1"/>
  <c r="P403" i="4"/>
  <c r="Q347" i="4" l="1"/>
  <c r="P347" i="4"/>
  <c r="Q346" i="4"/>
  <c r="P346" i="4"/>
  <c r="Q96" i="4"/>
  <c r="R418" i="4" l="1"/>
  <c r="Q418" i="4"/>
  <c r="R347" i="4"/>
  <c r="R346" i="4"/>
  <c r="P279" i="4"/>
  <c r="R172" i="4"/>
  <c r="R121" i="4" l="1"/>
  <c r="P60" i="4"/>
  <c r="R337" i="4"/>
  <c r="Q337" i="4"/>
  <c r="E69" i="4" l="1"/>
  <c r="E70" i="4"/>
  <c r="P352" i="4" l="1"/>
  <c r="O351" i="4" l="1"/>
  <c r="E359" i="4"/>
  <c r="E358" i="4"/>
  <c r="E357" i="4"/>
  <c r="E356" i="4"/>
  <c r="R355" i="4"/>
  <c r="Q355" i="4"/>
  <c r="P355" i="4"/>
  <c r="O355" i="4"/>
  <c r="N355" i="4"/>
  <c r="M355" i="4"/>
  <c r="L355" i="4"/>
  <c r="K355" i="4"/>
  <c r="J355" i="4"/>
  <c r="I355" i="4"/>
  <c r="H355" i="4"/>
  <c r="G355" i="4"/>
  <c r="R354" i="4"/>
  <c r="Q354" i="4"/>
  <c r="P354" i="4"/>
  <c r="O354" i="4"/>
  <c r="R353" i="4"/>
  <c r="Q353" i="4"/>
  <c r="P353" i="4"/>
  <c r="O353" i="4"/>
  <c r="R352" i="4"/>
  <c r="R350" i="4" s="1"/>
  <c r="Q352" i="4"/>
  <c r="O352" i="4"/>
  <c r="R351" i="4"/>
  <c r="Q351" i="4"/>
  <c r="P351" i="4"/>
  <c r="N350" i="4"/>
  <c r="M350" i="4"/>
  <c r="L350" i="4"/>
  <c r="K350" i="4"/>
  <c r="J350" i="4"/>
  <c r="I350" i="4"/>
  <c r="H350" i="4"/>
  <c r="G350" i="4"/>
  <c r="E354" i="4" l="1"/>
  <c r="Q350" i="4"/>
  <c r="E355" i="4"/>
  <c r="E352" i="4"/>
  <c r="E353" i="4"/>
  <c r="E351" i="4"/>
  <c r="P350" i="4"/>
  <c r="O350" i="4"/>
  <c r="O50" i="4"/>
  <c r="E350" i="4" l="1"/>
  <c r="U14" i="4"/>
  <c r="O112" i="4" l="1"/>
  <c r="O445" i="4" l="1"/>
  <c r="O387" i="4"/>
  <c r="O147" i="4"/>
  <c r="O71" i="4"/>
  <c r="O452" i="4" l="1"/>
  <c r="O397" i="4" l="1"/>
  <c r="O377" i="4"/>
  <c r="O253" i="4"/>
  <c r="O172" i="4"/>
  <c r="O167" i="4"/>
  <c r="O162" i="4"/>
  <c r="O126" i="4"/>
  <c r="O117" i="4"/>
  <c r="O96" i="4"/>
  <c r="O82" i="4"/>
  <c r="O60" i="4"/>
  <c r="P50" i="4"/>
  <c r="O254" i="4" l="1"/>
  <c r="O97" i="4"/>
  <c r="O118" i="4"/>
  <c r="E469" i="4" l="1"/>
  <c r="E471" i="4"/>
  <c r="E473" i="4"/>
  <c r="E474" i="4"/>
  <c r="E476" i="4"/>
  <c r="E478" i="4"/>
  <c r="E479" i="4"/>
  <c r="E481" i="4"/>
  <c r="E483" i="4"/>
  <c r="E484" i="4"/>
  <c r="E486" i="4"/>
  <c r="E468" i="4"/>
  <c r="E454" i="4"/>
  <c r="E453" i="4"/>
  <c r="E451" i="4"/>
  <c r="E450" i="4"/>
  <c r="E447" i="4"/>
  <c r="E444" i="4"/>
  <c r="E443" i="4"/>
  <c r="E441" i="4"/>
  <c r="E438" i="4"/>
  <c r="E437" i="4"/>
  <c r="E419" i="4"/>
  <c r="E412" i="4"/>
  <c r="E414" i="4"/>
  <c r="E416" i="4"/>
  <c r="E417" i="4"/>
  <c r="E411" i="4"/>
  <c r="E396" i="4"/>
  <c r="E399" i="4"/>
  <c r="E401" i="4"/>
  <c r="E402" i="4"/>
  <c r="E404" i="4"/>
  <c r="E391" i="4"/>
  <c r="E371" i="4"/>
  <c r="E373" i="4"/>
  <c r="E376" i="4"/>
  <c r="E378" i="4"/>
  <c r="E379" i="4"/>
  <c r="E381" i="4"/>
  <c r="E383" i="4"/>
  <c r="E384" i="4"/>
  <c r="E386" i="4"/>
  <c r="E388" i="4"/>
  <c r="E389" i="4"/>
  <c r="E326" i="4"/>
  <c r="E328" i="4"/>
  <c r="E329" i="4"/>
  <c r="E331" i="4"/>
  <c r="E332" i="4"/>
  <c r="E334" i="4"/>
  <c r="E336" i="4"/>
  <c r="E337" i="4"/>
  <c r="E339" i="4"/>
  <c r="E346" i="4"/>
  <c r="E347" i="4"/>
  <c r="E348" i="4"/>
  <c r="E349" i="4"/>
  <c r="E312" i="4"/>
  <c r="E313" i="4"/>
  <c r="E315" i="4"/>
  <c r="E302" i="4"/>
  <c r="E303" i="4"/>
  <c r="E304" i="4"/>
  <c r="E305" i="4"/>
  <c r="E181" i="4"/>
  <c r="E183" i="4"/>
  <c r="E184" i="4"/>
  <c r="E185" i="4"/>
  <c r="E186" i="4"/>
  <c r="E188" i="4"/>
  <c r="E189" i="4"/>
  <c r="E190" i="4"/>
  <c r="E191" i="4"/>
  <c r="E193" i="4"/>
  <c r="E194" i="4"/>
  <c r="E196" i="4"/>
  <c r="E198" i="4"/>
  <c r="E199" i="4"/>
  <c r="E200" i="4"/>
  <c r="E201" i="4"/>
  <c r="E203" i="4"/>
  <c r="E207" i="4"/>
  <c r="E209" i="4"/>
  <c r="E210" i="4"/>
  <c r="E211" i="4"/>
  <c r="E212" i="4"/>
  <c r="E213" i="4"/>
  <c r="E215" i="4"/>
  <c r="E216" i="4"/>
  <c r="E217" i="4"/>
  <c r="E219" i="4"/>
  <c r="E221" i="4"/>
  <c r="E222" i="4"/>
  <c r="E223" i="4"/>
  <c r="E224" i="4"/>
  <c r="E226" i="4"/>
  <c r="E229" i="4"/>
  <c r="E231" i="4"/>
  <c r="E232" i="4"/>
  <c r="E234" i="4"/>
  <c r="E236" i="4"/>
  <c r="E237" i="4"/>
  <c r="E238" i="4"/>
  <c r="E239" i="4"/>
  <c r="E241" i="4"/>
  <c r="E242" i="4"/>
  <c r="E243" i="4"/>
  <c r="E244" i="4"/>
  <c r="E246" i="4"/>
  <c r="E247" i="4"/>
  <c r="E249" i="4"/>
  <c r="E250" i="4"/>
  <c r="E252" i="4"/>
  <c r="E255" i="4"/>
  <c r="E257" i="4"/>
  <c r="E258" i="4"/>
  <c r="E260" i="4"/>
  <c r="E262" i="4"/>
  <c r="E265" i="4"/>
  <c r="E267" i="4"/>
  <c r="E270" i="4"/>
  <c r="E272" i="4"/>
  <c r="E273" i="4"/>
  <c r="E274" i="4"/>
  <c r="E275" i="4"/>
  <c r="E277" i="4"/>
  <c r="E278" i="4"/>
  <c r="E280" i="4"/>
  <c r="E282" i="4"/>
  <c r="E285" i="4"/>
  <c r="E287" i="4"/>
  <c r="E290" i="4"/>
  <c r="E292" i="4"/>
  <c r="E293" i="4"/>
  <c r="E294" i="4"/>
  <c r="E295" i="4"/>
  <c r="E86" i="4"/>
  <c r="E88" i="4"/>
  <c r="E90" i="4"/>
  <c r="E91" i="4"/>
  <c r="E93" i="4"/>
  <c r="E95" i="4"/>
  <c r="E98" i="4"/>
  <c r="E100" i="4"/>
  <c r="E102" i="4"/>
  <c r="E103" i="4"/>
  <c r="E105" i="4"/>
  <c r="E108" i="4"/>
  <c r="E110" i="4"/>
  <c r="E111" i="4"/>
  <c r="E113" i="4"/>
  <c r="E114" i="4"/>
  <c r="E116" i="4"/>
  <c r="E119" i="4"/>
  <c r="E123" i="4"/>
  <c r="E124" i="4"/>
  <c r="E129" i="4"/>
  <c r="E131" i="4"/>
  <c r="E132" i="4"/>
  <c r="E133" i="4"/>
  <c r="E134" i="4"/>
  <c r="E136" i="4"/>
  <c r="E137" i="4"/>
  <c r="E139" i="4"/>
  <c r="E141" i="4"/>
  <c r="E142" i="4"/>
  <c r="E144" i="4"/>
  <c r="E146" i="4"/>
  <c r="E148" i="4"/>
  <c r="E149" i="4"/>
  <c r="E151" i="4"/>
  <c r="E153" i="4"/>
  <c r="E154" i="4"/>
  <c r="E156" i="4"/>
  <c r="E157" i="4"/>
  <c r="E159" i="4"/>
  <c r="E161" i="4"/>
  <c r="E163" i="4"/>
  <c r="E164" i="4"/>
  <c r="E166" i="4"/>
  <c r="E167" i="4"/>
  <c r="E168" i="4"/>
  <c r="E169" i="4"/>
  <c r="E171" i="4"/>
  <c r="E173" i="4"/>
  <c r="E174" i="4"/>
  <c r="E85" i="4"/>
  <c r="E83" i="4"/>
  <c r="E81" i="4"/>
  <c r="E80" i="4"/>
  <c r="E62" i="4"/>
  <c r="E61" i="4"/>
  <c r="E59" i="4"/>
  <c r="E52" i="4"/>
  <c r="E51" i="4"/>
  <c r="E49" i="4"/>
  <c r="E42" i="4"/>
  <c r="E39" i="4"/>
  <c r="O121" i="4" l="1"/>
  <c r="O398" i="4"/>
  <c r="O73" i="4" l="1"/>
  <c r="O122" i="4" l="1"/>
  <c r="O279" i="4"/>
  <c r="R162" i="4" l="1"/>
  <c r="R50" i="4" l="1"/>
  <c r="R445" i="4" l="1"/>
  <c r="R398" i="4" l="1"/>
  <c r="R393" i="4" s="1"/>
  <c r="Q398" i="4"/>
  <c r="R397" i="4"/>
  <c r="Q397" i="4"/>
  <c r="R387" i="4"/>
  <c r="Q387" i="4"/>
  <c r="P387" i="4"/>
  <c r="R382" i="4"/>
  <c r="Q382" i="4"/>
  <c r="P382" i="4"/>
  <c r="R377" i="4"/>
  <c r="Q377" i="4"/>
  <c r="P377" i="4"/>
  <c r="Q172" i="4"/>
  <c r="P172" i="4"/>
  <c r="Q162" i="4"/>
  <c r="P162" i="4"/>
  <c r="E162" i="4" s="1"/>
  <c r="R147" i="4"/>
  <c r="Q147" i="4"/>
  <c r="P147" i="4"/>
  <c r="Q126" i="4"/>
  <c r="P126" i="4"/>
  <c r="P289" i="4"/>
  <c r="P288" i="4"/>
  <c r="Q177" i="4"/>
  <c r="R177" i="4"/>
  <c r="P177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E172" i="4" l="1"/>
  <c r="O291" i="4"/>
  <c r="E291" i="4" s="1"/>
  <c r="R96" i="4" l="1"/>
  <c r="R35" i="4"/>
  <c r="Q97" i="4"/>
  <c r="P97" i="4"/>
  <c r="P96" i="4"/>
  <c r="R60" i="4"/>
  <c r="Q60" i="4"/>
  <c r="Q50" i="4"/>
  <c r="O480" i="4" l="1"/>
  <c r="R475" i="4" l="1"/>
  <c r="P480" i="4"/>
  <c r="Q480" i="4" s="1"/>
  <c r="R480" i="4" s="1"/>
  <c r="Q475" i="4"/>
  <c r="P475" i="4"/>
  <c r="P413" i="4"/>
  <c r="Q413" i="4"/>
  <c r="R413" i="4"/>
  <c r="O475" i="4"/>
  <c r="O485" i="4" l="1"/>
  <c r="O138" i="4"/>
  <c r="R496" i="4" l="1"/>
  <c r="H508" i="4"/>
  <c r="H505" i="4"/>
  <c r="G508" i="4"/>
  <c r="G505" i="4" s="1"/>
  <c r="E508" i="4"/>
  <c r="E505" i="4"/>
  <c r="R338" i="4"/>
  <c r="R335" i="4" s="1"/>
  <c r="R482" i="4"/>
  <c r="R477" i="4"/>
  <c r="R472" i="4"/>
  <c r="R470" i="4"/>
  <c r="R449" i="4"/>
  <c r="R446" i="4"/>
  <c r="R440" i="4" s="1"/>
  <c r="R442" i="4"/>
  <c r="R439" i="4"/>
  <c r="R435" i="4"/>
  <c r="R433" i="4"/>
  <c r="R432" i="4"/>
  <c r="R431" i="4"/>
  <c r="R415" i="4"/>
  <c r="R410" i="4" s="1"/>
  <c r="R400" i="4"/>
  <c r="R395" i="4"/>
  <c r="R394" i="4"/>
  <c r="R392" i="4"/>
  <c r="R385" i="4"/>
  <c r="R380" i="4"/>
  <c r="R375" i="4"/>
  <c r="R374" i="4"/>
  <c r="R369" i="4" s="1"/>
  <c r="R372" i="4"/>
  <c r="R370" i="4"/>
  <c r="R365" i="4"/>
  <c r="R368" i="4"/>
  <c r="R367" i="4"/>
  <c r="R366" i="4"/>
  <c r="R363" i="4"/>
  <c r="R362" i="4"/>
  <c r="R361" i="4"/>
  <c r="R345" i="4"/>
  <c r="R344" i="4"/>
  <c r="R343" i="4"/>
  <c r="R342" i="4"/>
  <c r="R341" i="4"/>
  <c r="R323" i="4"/>
  <c r="R322" i="4"/>
  <c r="R318" i="4"/>
  <c r="R317" i="4"/>
  <c r="R311" i="4"/>
  <c r="R306" i="4" s="1"/>
  <c r="R310" i="4"/>
  <c r="R309" i="4"/>
  <c r="R308" i="4"/>
  <c r="R307" i="4"/>
  <c r="R301" i="4"/>
  <c r="R296" i="4" s="1"/>
  <c r="R300" i="4"/>
  <c r="R299" i="4"/>
  <c r="R298" i="4"/>
  <c r="R297" i="4"/>
  <c r="R286" i="4"/>
  <c r="R281" i="4"/>
  <c r="R178" i="4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6" i="4"/>
  <c r="R170" i="4"/>
  <c r="R165" i="4"/>
  <c r="R160" i="4"/>
  <c r="R155" i="4"/>
  <c r="R150" i="4"/>
  <c r="R145" i="4"/>
  <c r="R140" i="4"/>
  <c r="R135" i="4"/>
  <c r="R130" i="4"/>
  <c r="R127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3" i="4"/>
  <c r="R31" i="4"/>
  <c r="R29" i="4"/>
  <c r="R20" i="4" s="1"/>
  <c r="O418" i="4"/>
  <c r="O413" i="4" s="1"/>
  <c r="O403" i="4"/>
  <c r="O363" i="4" s="1"/>
  <c r="O48" i="4"/>
  <c r="O314" i="4"/>
  <c r="O284" i="4"/>
  <c r="O281" i="4" s="1"/>
  <c r="P178" i="4"/>
  <c r="U71" i="4"/>
  <c r="V71" i="4" s="1"/>
  <c r="F508" i="4"/>
  <c r="F505" i="4"/>
  <c r="BM499" i="4"/>
  <c r="BO499" i="4"/>
  <c r="BN499" i="4"/>
  <c r="BL499" i="4"/>
  <c r="Q499" i="4"/>
  <c r="Q338" i="4"/>
  <c r="E497" i="4"/>
  <c r="E498" i="4"/>
  <c r="E500" i="4"/>
  <c r="BO496" i="4"/>
  <c r="BN496" i="4"/>
  <c r="BM496" i="4"/>
  <c r="Q496" i="4"/>
  <c r="P496" i="4"/>
  <c r="O496" i="4"/>
  <c r="N496" i="4"/>
  <c r="M496" i="4"/>
  <c r="L496" i="4"/>
  <c r="K496" i="4"/>
  <c r="J496" i="4"/>
  <c r="I496" i="4"/>
  <c r="H496" i="4"/>
  <c r="G496" i="4"/>
  <c r="O107" i="4"/>
  <c r="O35" i="4" s="1"/>
  <c r="O106" i="4"/>
  <c r="O289" i="4"/>
  <c r="E289" i="4" s="1"/>
  <c r="O288" i="4"/>
  <c r="E288" i="4" s="1"/>
  <c r="Q127" i="4"/>
  <c r="P127" i="4"/>
  <c r="P34" i="4" s="1"/>
  <c r="O127" i="4"/>
  <c r="Q35" i="4"/>
  <c r="P33" i="4"/>
  <c r="O33" i="4"/>
  <c r="O327" i="4"/>
  <c r="O325" i="4"/>
  <c r="Q372" i="4"/>
  <c r="Q367" i="4" s="1"/>
  <c r="P372" i="4"/>
  <c r="O372" i="4"/>
  <c r="P35" i="4"/>
  <c r="O34" i="4"/>
  <c r="Q33" i="4"/>
  <c r="Q342" i="4"/>
  <c r="Q343" i="4"/>
  <c r="Q344" i="4"/>
  <c r="Q341" i="4"/>
  <c r="P342" i="4"/>
  <c r="P343" i="4"/>
  <c r="P344" i="4"/>
  <c r="P341" i="4"/>
  <c r="O342" i="4"/>
  <c r="O343" i="4"/>
  <c r="O344" i="4"/>
  <c r="E344" i="4" s="1"/>
  <c r="O341" i="4"/>
  <c r="N340" i="4"/>
  <c r="M340" i="4"/>
  <c r="L340" i="4"/>
  <c r="K340" i="4"/>
  <c r="J340" i="4"/>
  <c r="I340" i="4"/>
  <c r="H340" i="4"/>
  <c r="G340" i="4"/>
  <c r="H345" i="4"/>
  <c r="I345" i="4"/>
  <c r="J345" i="4"/>
  <c r="K345" i="4"/>
  <c r="L345" i="4"/>
  <c r="M345" i="4"/>
  <c r="N345" i="4"/>
  <c r="G345" i="4"/>
  <c r="G335" i="4"/>
  <c r="Q345" i="4"/>
  <c r="P345" i="4"/>
  <c r="O345" i="4"/>
  <c r="N170" i="4"/>
  <c r="Q170" i="4"/>
  <c r="P170" i="4"/>
  <c r="O170" i="4"/>
  <c r="M170" i="4"/>
  <c r="L170" i="4"/>
  <c r="K170" i="4"/>
  <c r="J170" i="4"/>
  <c r="Q165" i="4"/>
  <c r="P165" i="4"/>
  <c r="O165" i="4"/>
  <c r="N165" i="4"/>
  <c r="M165" i="4"/>
  <c r="L165" i="4"/>
  <c r="K165" i="4"/>
  <c r="J165" i="4"/>
  <c r="N71" i="4"/>
  <c r="N475" i="4"/>
  <c r="N472" i="4" s="1"/>
  <c r="N418" i="4"/>
  <c r="N82" i="4"/>
  <c r="N122" i="4"/>
  <c r="N121" i="4"/>
  <c r="AK20" i="4"/>
  <c r="N73" i="4"/>
  <c r="N387" i="4"/>
  <c r="N324" i="4"/>
  <c r="E324" i="4" s="1"/>
  <c r="N138" i="4"/>
  <c r="N135" i="4" s="1"/>
  <c r="N92" i="4"/>
  <c r="N398" i="4"/>
  <c r="N397" i="4"/>
  <c r="N392" i="4" s="1"/>
  <c r="N254" i="4"/>
  <c r="N253" i="4"/>
  <c r="N60" i="4"/>
  <c r="N248" i="4"/>
  <c r="N452" i="4"/>
  <c r="N158" i="4"/>
  <c r="E158" i="4" s="1"/>
  <c r="N147" i="4"/>
  <c r="N112" i="4"/>
  <c r="N50" i="4"/>
  <c r="N48" i="4" s="1"/>
  <c r="N279" i="4"/>
  <c r="N485" i="4"/>
  <c r="E485" i="4" s="1"/>
  <c r="N382" i="4"/>
  <c r="N380" i="4" s="1"/>
  <c r="N377" i="4"/>
  <c r="N375" i="4" s="1"/>
  <c r="N333" i="4"/>
  <c r="E333" i="4" s="1"/>
  <c r="N327" i="4"/>
  <c r="N87" i="4"/>
  <c r="N152" i="4"/>
  <c r="O392" i="4"/>
  <c r="O395" i="4"/>
  <c r="P395" i="4"/>
  <c r="P390" i="4" s="1"/>
  <c r="Q395" i="4"/>
  <c r="O318" i="4"/>
  <c r="O316" i="4" s="1"/>
  <c r="O320" i="4"/>
  <c r="P320" i="4"/>
  <c r="Q320" i="4"/>
  <c r="Q318" i="4"/>
  <c r="Q317" i="4"/>
  <c r="Q160" i="4"/>
  <c r="P160" i="4"/>
  <c r="O160" i="4"/>
  <c r="N160" i="4"/>
  <c r="M160" i="4"/>
  <c r="L160" i="4"/>
  <c r="K160" i="4"/>
  <c r="J160" i="4"/>
  <c r="Q155" i="4"/>
  <c r="P155" i="4"/>
  <c r="O155" i="4"/>
  <c r="N155" i="4"/>
  <c r="M155" i="4"/>
  <c r="L155" i="4"/>
  <c r="K155" i="4"/>
  <c r="J155" i="4"/>
  <c r="O248" i="4"/>
  <c r="O433" i="4"/>
  <c r="N107" i="4"/>
  <c r="N106" i="4"/>
  <c r="E106" i="4" s="1"/>
  <c r="N284" i="4"/>
  <c r="E284" i="4" s="1"/>
  <c r="N283" i="4"/>
  <c r="N445" i="4"/>
  <c r="Q150" i="4"/>
  <c r="P150" i="4"/>
  <c r="O150" i="4"/>
  <c r="M150" i="4"/>
  <c r="L150" i="4"/>
  <c r="K150" i="4"/>
  <c r="J150" i="4"/>
  <c r="N97" i="4"/>
  <c r="N96" i="4"/>
  <c r="N259" i="4"/>
  <c r="N325" i="4"/>
  <c r="N480" i="4"/>
  <c r="N126" i="4"/>
  <c r="N127" i="4"/>
  <c r="O335" i="4"/>
  <c r="P318" i="4"/>
  <c r="P317" i="4"/>
  <c r="O317" i="4"/>
  <c r="Q335" i="4"/>
  <c r="P335" i="4"/>
  <c r="N335" i="4"/>
  <c r="M335" i="4"/>
  <c r="L335" i="4"/>
  <c r="K335" i="4"/>
  <c r="J335" i="4"/>
  <c r="I335" i="4"/>
  <c r="H335" i="4"/>
  <c r="Q482" i="4"/>
  <c r="Q467" i="4" s="1"/>
  <c r="P482" i="4"/>
  <c r="O482" i="4"/>
  <c r="N482" i="4"/>
  <c r="M482" i="4"/>
  <c r="L482" i="4"/>
  <c r="K482" i="4"/>
  <c r="J482" i="4"/>
  <c r="I482" i="4"/>
  <c r="H482" i="4"/>
  <c r="G482" i="4"/>
  <c r="F482" i="4"/>
  <c r="M480" i="4"/>
  <c r="M477" i="4" s="1"/>
  <c r="L480" i="4"/>
  <c r="L477" i="4"/>
  <c r="I480" i="4"/>
  <c r="H480" i="4"/>
  <c r="Q477" i="4"/>
  <c r="P477" i="4"/>
  <c r="O477" i="4"/>
  <c r="K477" i="4"/>
  <c r="J477" i="4"/>
  <c r="G477" i="4"/>
  <c r="G467" i="4" s="1"/>
  <c r="F477" i="4"/>
  <c r="F433" i="4" s="1"/>
  <c r="M475" i="4"/>
  <c r="M472" i="4" s="1"/>
  <c r="L475" i="4"/>
  <c r="L472" i="4"/>
  <c r="J475" i="4"/>
  <c r="I475" i="4"/>
  <c r="I472" i="4"/>
  <c r="H475" i="4"/>
  <c r="Q472" i="4"/>
  <c r="P472" i="4"/>
  <c r="O472" i="4"/>
  <c r="K472" i="4"/>
  <c r="Q470" i="4"/>
  <c r="P470" i="4"/>
  <c r="O470" i="4"/>
  <c r="K470" i="4"/>
  <c r="E466" i="4"/>
  <c r="E465" i="4"/>
  <c r="E464" i="4"/>
  <c r="E463" i="4"/>
  <c r="E462" i="4"/>
  <c r="M461" i="4"/>
  <c r="M460" i="4" s="1"/>
  <c r="L461" i="4"/>
  <c r="L460" i="4"/>
  <c r="K461" i="4"/>
  <c r="K460" i="4" s="1"/>
  <c r="J461" i="4"/>
  <c r="I461" i="4"/>
  <c r="H461" i="4"/>
  <c r="G461" i="4"/>
  <c r="G460" i="4" s="1"/>
  <c r="J460" i="4"/>
  <c r="E459" i="4"/>
  <c r="E458" i="4"/>
  <c r="E457" i="4"/>
  <c r="E456" i="4"/>
  <c r="M455" i="4"/>
  <c r="L455" i="4"/>
  <c r="K455" i="4"/>
  <c r="J455" i="4"/>
  <c r="I455" i="4"/>
  <c r="H455" i="4"/>
  <c r="G455" i="4"/>
  <c r="M452" i="4"/>
  <c r="L452" i="4"/>
  <c r="L449" i="4" s="1"/>
  <c r="I452" i="4"/>
  <c r="I449" i="4"/>
  <c r="H452" i="4"/>
  <c r="H449" i="4" s="1"/>
  <c r="G452" i="4"/>
  <c r="G449" i="4"/>
  <c r="G433" i="4" s="1"/>
  <c r="Q449" i="4"/>
  <c r="Q436" i="4" s="1"/>
  <c r="P449" i="4"/>
  <c r="O449" i="4"/>
  <c r="K449" i="4"/>
  <c r="J449" i="4"/>
  <c r="E448" i="4"/>
  <c r="Q446" i="4"/>
  <c r="Q440" i="4"/>
  <c r="P446" i="4"/>
  <c r="P440" i="4" s="1"/>
  <c r="O446" i="4"/>
  <c r="O440" i="4"/>
  <c r="N446" i="4"/>
  <c r="N440" i="4" s="1"/>
  <c r="M446" i="4"/>
  <c r="M440" i="4"/>
  <c r="L446" i="4"/>
  <c r="L440" i="4" s="1"/>
  <c r="K446" i="4"/>
  <c r="K440" i="4"/>
  <c r="J446" i="4"/>
  <c r="J440" i="4" s="1"/>
  <c r="I446" i="4"/>
  <c r="I440" i="4"/>
  <c r="H446" i="4"/>
  <c r="H440" i="4" s="1"/>
  <c r="M445" i="4"/>
  <c r="M442" i="4" s="1"/>
  <c r="L445" i="4"/>
  <c r="I445" i="4"/>
  <c r="I442" i="4"/>
  <c r="H445" i="4"/>
  <c r="H442" i="4" s="1"/>
  <c r="G445" i="4"/>
  <c r="Q442" i="4"/>
  <c r="P442" i="4"/>
  <c r="O442" i="4"/>
  <c r="N442" i="4"/>
  <c r="K442" i="4"/>
  <c r="J442" i="4"/>
  <c r="G440" i="4"/>
  <c r="Q439" i="4"/>
  <c r="P439" i="4"/>
  <c r="O439" i="4"/>
  <c r="K439" i="4"/>
  <c r="J439" i="4"/>
  <c r="Q435" i="4"/>
  <c r="P435" i="4"/>
  <c r="O435" i="4"/>
  <c r="N435" i="4"/>
  <c r="M435" i="4"/>
  <c r="L435" i="4"/>
  <c r="K435" i="4"/>
  <c r="J435" i="4"/>
  <c r="I435" i="4"/>
  <c r="H435" i="4"/>
  <c r="G435" i="4"/>
  <c r="E435" i="4" s="1"/>
  <c r="G434" i="4"/>
  <c r="E434" i="4" s="1"/>
  <c r="Q433" i="4"/>
  <c r="P433" i="4"/>
  <c r="P430" i="4" s="1"/>
  <c r="K433" i="4"/>
  <c r="Q432" i="4"/>
  <c r="P432" i="4"/>
  <c r="O432" i="4"/>
  <c r="N432" i="4"/>
  <c r="M432" i="4"/>
  <c r="L432" i="4"/>
  <c r="K432" i="4"/>
  <c r="J432" i="4"/>
  <c r="I432" i="4"/>
  <c r="H432" i="4"/>
  <c r="G432" i="4"/>
  <c r="F432" i="4"/>
  <c r="Q431" i="4"/>
  <c r="P431" i="4"/>
  <c r="O431" i="4"/>
  <c r="N431" i="4"/>
  <c r="M431" i="4"/>
  <c r="L431" i="4"/>
  <c r="K431" i="4"/>
  <c r="J431" i="4"/>
  <c r="I431" i="4"/>
  <c r="H431" i="4"/>
  <c r="G431" i="4"/>
  <c r="F431" i="4"/>
  <c r="F430" i="4" s="1"/>
  <c r="E429" i="4"/>
  <c r="E428" i="4"/>
  <c r="E427" i="4"/>
  <c r="E426" i="4"/>
  <c r="M425" i="4"/>
  <c r="L425" i="4"/>
  <c r="K425" i="4"/>
  <c r="J425" i="4"/>
  <c r="I425" i="4"/>
  <c r="H425" i="4"/>
  <c r="G425" i="4"/>
  <c r="F425" i="4"/>
  <c r="E425" i="4" s="1"/>
  <c r="E424" i="4"/>
  <c r="E423" i="4"/>
  <c r="E422" i="4"/>
  <c r="E421" i="4"/>
  <c r="M420" i="4"/>
  <c r="L420" i="4"/>
  <c r="K420" i="4"/>
  <c r="J420" i="4"/>
  <c r="I420" i="4"/>
  <c r="H420" i="4"/>
  <c r="G420" i="4"/>
  <c r="F420" i="4"/>
  <c r="E420" i="4" s="1"/>
  <c r="M418" i="4"/>
  <c r="M415" i="4" s="1"/>
  <c r="M410" i="4" s="1"/>
  <c r="L418" i="4"/>
  <c r="L413" i="4" s="1"/>
  <c r="Q415" i="4"/>
  <c r="Q410" i="4" s="1"/>
  <c r="P415" i="4"/>
  <c r="P410" i="4" s="1"/>
  <c r="O415" i="4"/>
  <c r="O410" i="4"/>
  <c r="K415" i="4"/>
  <c r="K410" i="4"/>
  <c r="J415" i="4"/>
  <c r="J410" i="4" s="1"/>
  <c r="I415" i="4"/>
  <c r="I410" i="4"/>
  <c r="H415" i="4"/>
  <c r="H410" i="4" s="1"/>
  <c r="G415" i="4"/>
  <c r="G410" i="4"/>
  <c r="F415" i="4"/>
  <c r="K413" i="4"/>
  <c r="J413" i="4"/>
  <c r="I413" i="4"/>
  <c r="H413" i="4"/>
  <c r="G413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N403" i="4"/>
  <c r="N400" i="4" s="1"/>
  <c r="M403" i="4"/>
  <c r="M363" i="4" s="1"/>
  <c r="M400" i="4"/>
  <c r="L403" i="4"/>
  <c r="L400" i="4" s="1"/>
  <c r="I403" i="4"/>
  <c r="G403" i="4"/>
  <c r="G400" i="4"/>
  <c r="Q400" i="4"/>
  <c r="Q390" i="4" s="1"/>
  <c r="P400" i="4"/>
  <c r="K400" i="4"/>
  <c r="J400" i="4"/>
  <c r="H400" i="4"/>
  <c r="F400" i="4"/>
  <c r="M398" i="4"/>
  <c r="L398" i="4"/>
  <c r="I398" i="4"/>
  <c r="H398" i="4"/>
  <c r="G398" i="4"/>
  <c r="M397" i="4"/>
  <c r="L397" i="4"/>
  <c r="L395" i="4" s="1"/>
  <c r="L390" i="4" s="1"/>
  <c r="K397" i="4"/>
  <c r="J397" i="4"/>
  <c r="J395" i="4" s="1"/>
  <c r="J390" i="4" s="1"/>
  <c r="I397" i="4"/>
  <c r="I392" i="4" s="1"/>
  <c r="H397" i="4"/>
  <c r="G397" i="4"/>
  <c r="G392" i="4" s="1"/>
  <c r="F395" i="4"/>
  <c r="Q394" i="4"/>
  <c r="P394" i="4"/>
  <c r="O394" i="4"/>
  <c r="N394" i="4"/>
  <c r="M394" i="4"/>
  <c r="L394" i="4"/>
  <c r="K394" i="4"/>
  <c r="J394" i="4"/>
  <c r="I394" i="4"/>
  <c r="H394" i="4"/>
  <c r="G394" i="4"/>
  <c r="Q393" i="4"/>
  <c r="P393" i="4"/>
  <c r="K393" i="4"/>
  <c r="J393" i="4"/>
  <c r="Q392" i="4"/>
  <c r="P392" i="4"/>
  <c r="M392" i="4"/>
  <c r="M387" i="4"/>
  <c r="M385" i="4"/>
  <c r="L387" i="4"/>
  <c r="I387" i="4"/>
  <c r="I385" i="4" s="1"/>
  <c r="H387" i="4"/>
  <c r="H385" i="4"/>
  <c r="G387" i="4"/>
  <c r="Q385" i="4"/>
  <c r="P385" i="4"/>
  <c r="O385" i="4"/>
  <c r="K385" i="4"/>
  <c r="J385" i="4"/>
  <c r="F385" i="4"/>
  <c r="M382" i="4"/>
  <c r="M380" i="4" s="1"/>
  <c r="M365" i="4" s="1"/>
  <c r="L382" i="4"/>
  <c r="L380" i="4"/>
  <c r="H382" i="4"/>
  <c r="G382" i="4"/>
  <c r="Q380" i="4"/>
  <c r="P380" i="4"/>
  <c r="O380" i="4"/>
  <c r="K380" i="4"/>
  <c r="J380" i="4"/>
  <c r="I380" i="4"/>
  <c r="F380" i="4"/>
  <c r="M377" i="4"/>
  <c r="M375" i="4" s="1"/>
  <c r="L377" i="4"/>
  <c r="I377" i="4"/>
  <c r="I375" i="4" s="1"/>
  <c r="H377" i="4"/>
  <c r="Q375" i="4"/>
  <c r="P375" i="4"/>
  <c r="O375" i="4"/>
  <c r="K375" i="4"/>
  <c r="J375" i="4"/>
  <c r="G375" i="4"/>
  <c r="F375" i="4"/>
  <c r="Q374" i="4"/>
  <c r="P374" i="4"/>
  <c r="P369" i="4" s="1"/>
  <c r="O374" i="4"/>
  <c r="O364" i="4" s="1"/>
  <c r="N374" i="4"/>
  <c r="N369" i="4" s="1"/>
  <c r="M374" i="4"/>
  <c r="M364" i="4" s="1"/>
  <c r="L374" i="4"/>
  <c r="K374" i="4"/>
  <c r="P367" i="4"/>
  <c r="N372" i="4"/>
  <c r="N370" i="4"/>
  <c r="M372" i="4"/>
  <c r="L372" i="4"/>
  <c r="G372" i="4"/>
  <c r="G367" i="4" s="1"/>
  <c r="Q370" i="4"/>
  <c r="K370" i="4"/>
  <c r="J370" i="4"/>
  <c r="I370" i="4"/>
  <c r="I365" i="4" s="1"/>
  <c r="H370" i="4"/>
  <c r="F370" i="4"/>
  <c r="Q368" i="4"/>
  <c r="P368" i="4"/>
  <c r="O368" i="4"/>
  <c r="N368" i="4"/>
  <c r="M368" i="4"/>
  <c r="L368" i="4"/>
  <c r="K368" i="4"/>
  <c r="J368" i="4"/>
  <c r="I368" i="4"/>
  <c r="H368" i="4"/>
  <c r="G368" i="4"/>
  <c r="K367" i="4"/>
  <c r="J367" i="4"/>
  <c r="Q366" i="4"/>
  <c r="P366" i="4"/>
  <c r="O366" i="4"/>
  <c r="N366" i="4"/>
  <c r="M366" i="4"/>
  <c r="L366" i="4"/>
  <c r="K366" i="4"/>
  <c r="J366" i="4"/>
  <c r="I366" i="4"/>
  <c r="H366" i="4"/>
  <c r="G366" i="4"/>
  <c r="Q363" i="4"/>
  <c r="P363" i="4"/>
  <c r="K363" i="4"/>
  <c r="J363" i="4"/>
  <c r="F363" i="4"/>
  <c r="F362" i="4"/>
  <c r="Q361" i="4"/>
  <c r="P361" i="4"/>
  <c r="O361" i="4"/>
  <c r="N361" i="4"/>
  <c r="M361" i="4"/>
  <c r="L361" i="4"/>
  <c r="K361" i="4"/>
  <c r="J361" i="4"/>
  <c r="I361" i="4"/>
  <c r="H361" i="4"/>
  <c r="G361" i="4"/>
  <c r="F361" i="4"/>
  <c r="M330" i="4"/>
  <c r="M327" i="4"/>
  <c r="M320" i="4"/>
  <c r="M325" i="4"/>
  <c r="Q323" i="4"/>
  <c r="P323" i="4"/>
  <c r="O323" i="4"/>
  <c r="L323" i="4"/>
  <c r="L316" i="4" s="1"/>
  <c r="K323" i="4"/>
  <c r="K316" i="4"/>
  <c r="J323" i="4"/>
  <c r="J316" i="4" s="1"/>
  <c r="I323" i="4"/>
  <c r="I316" i="4" s="1"/>
  <c r="H323" i="4"/>
  <c r="H316" i="4" s="1"/>
  <c r="G323" i="4"/>
  <c r="G316" i="4" s="1"/>
  <c r="F323" i="4"/>
  <c r="B323" i="4"/>
  <c r="Q322" i="4"/>
  <c r="P322" i="4"/>
  <c r="O322" i="4"/>
  <c r="N322" i="4"/>
  <c r="M322" i="4"/>
  <c r="L322" i="4"/>
  <c r="K322" i="4"/>
  <c r="J322" i="4"/>
  <c r="I322" i="4"/>
  <c r="H322" i="4"/>
  <c r="G322" i="4"/>
  <c r="M321" i="4"/>
  <c r="E321" i="4" s="1"/>
  <c r="L320" i="4"/>
  <c r="K320" i="4"/>
  <c r="J320" i="4"/>
  <c r="I320" i="4"/>
  <c r="H320" i="4"/>
  <c r="G320" i="4"/>
  <c r="M319" i="4"/>
  <c r="E319" i="4" s="1"/>
  <c r="N318" i="4"/>
  <c r="L318" i="4"/>
  <c r="K318" i="4"/>
  <c r="J318" i="4"/>
  <c r="I318" i="4"/>
  <c r="H318" i="4"/>
  <c r="G318" i="4"/>
  <c r="M317" i="4"/>
  <c r="L317" i="4"/>
  <c r="K317" i="4"/>
  <c r="J317" i="4"/>
  <c r="I317" i="4"/>
  <c r="H317" i="4"/>
  <c r="G317" i="4"/>
  <c r="M314" i="4"/>
  <c r="E314" i="4" s="1"/>
  <c r="Q311" i="4"/>
  <c r="Q306" i="4" s="1"/>
  <c r="P311" i="4"/>
  <c r="P306" i="4"/>
  <c r="O311" i="4"/>
  <c r="N311" i="4"/>
  <c r="N306" i="4" s="1"/>
  <c r="L311" i="4"/>
  <c r="L306" i="4"/>
  <c r="K311" i="4"/>
  <c r="K306" i="4" s="1"/>
  <c r="J311" i="4"/>
  <c r="J306" i="4"/>
  <c r="I311" i="4"/>
  <c r="I306" i="4" s="1"/>
  <c r="H311" i="4"/>
  <c r="H306" i="4" s="1"/>
  <c r="G311" i="4"/>
  <c r="G306" i="4" s="1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Q307" i="4"/>
  <c r="P307" i="4"/>
  <c r="O307" i="4"/>
  <c r="N307" i="4"/>
  <c r="M307" i="4"/>
  <c r="L307" i="4"/>
  <c r="K307" i="4"/>
  <c r="J307" i="4"/>
  <c r="I307" i="4"/>
  <c r="H307" i="4"/>
  <c r="G307" i="4"/>
  <c r="Q301" i="4"/>
  <c r="Q296" i="4" s="1"/>
  <c r="P301" i="4"/>
  <c r="P296" i="4" s="1"/>
  <c r="O301" i="4"/>
  <c r="O296" i="4" s="1"/>
  <c r="N301" i="4"/>
  <c r="N296" i="4" s="1"/>
  <c r="M301" i="4"/>
  <c r="M296" i="4" s="1"/>
  <c r="L301" i="4"/>
  <c r="L296" i="4" s="1"/>
  <c r="K301" i="4"/>
  <c r="K296" i="4" s="1"/>
  <c r="J301" i="4"/>
  <c r="J296" i="4" s="1"/>
  <c r="I301" i="4"/>
  <c r="I296" i="4" s="1"/>
  <c r="H301" i="4"/>
  <c r="H296" i="4" s="1"/>
  <c r="G301" i="4"/>
  <c r="G296" i="4" s="1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K299" i="4"/>
  <c r="J299" i="4"/>
  <c r="I299" i="4"/>
  <c r="H299" i="4"/>
  <c r="G299" i="4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Q286" i="4"/>
  <c r="P286" i="4"/>
  <c r="N286" i="4"/>
  <c r="M286" i="4"/>
  <c r="L286" i="4"/>
  <c r="K286" i="4"/>
  <c r="J286" i="4"/>
  <c r="I286" i="4"/>
  <c r="H286" i="4"/>
  <c r="G286" i="4"/>
  <c r="F286" i="4"/>
  <c r="Q281" i="4"/>
  <c r="P281" i="4"/>
  <c r="M281" i="4"/>
  <c r="L281" i="4"/>
  <c r="K281" i="4"/>
  <c r="J281" i="4"/>
  <c r="I281" i="4"/>
  <c r="H281" i="4"/>
  <c r="G281" i="4"/>
  <c r="F281" i="4"/>
  <c r="M279" i="4"/>
  <c r="M276" i="4" s="1"/>
  <c r="P276" i="4"/>
  <c r="O276" i="4"/>
  <c r="N276" i="4"/>
  <c r="L276" i="4"/>
  <c r="K276" i="4"/>
  <c r="J276" i="4"/>
  <c r="I276" i="4"/>
  <c r="H276" i="4"/>
  <c r="G276" i="4"/>
  <c r="F276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L269" i="4"/>
  <c r="L268" i="4"/>
  <c r="E268" i="4" s="1"/>
  <c r="Q266" i="4"/>
  <c r="P266" i="4"/>
  <c r="O266" i="4"/>
  <c r="N266" i="4"/>
  <c r="M266" i="4"/>
  <c r="K266" i="4"/>
  <c r="J266" i="4"/>
  <c r="I266" i="4"/>
  <c r="H266" i="4"/>
  <c r="G266" i="4"/>
  <c r="F266" i="4"/>
  <c r="M264" i="4"/>
  <c r="M261" i="4" s="1"/>
  <c r="L264" i="4"/>
  <c r="L263" i="4"/>
  <c r="E263" i="4" s="1"/>
  <c r="Q261" i="4"/>
  <c r="P261" i="4"/>
  <c r="O261" i="4"/>
  <c r="N261" i="4"/>
  <c r="K261" i="4"/>
  <c r="J261" i="4"/>
  <c r="I261" i="4"/>
  <c r="H261" i="4"/>
  <c r="G261" i="4"/>
  <c r="F261" i="4"/>
  <c r="L259" i="4"/>
  <c r="Q256" i="4"/>
  <c r="P256" i="4"/>
  <c r="O256" i="4"/>
  <c r="M256" i="4"/>
  <c r="K256" i="4"/>
  <c r="J256" i="4"/>
  <c r="I256" i="4"/>
  <c r="H256" i="4"/>
  <c r="G256" i="4"/>
  <c r="F256" i="4"/>
  <c r="M254" i="4"/>
  <c r="L254" i="4"/>
  <c r="O177" i="4"/>
  <c r="N251" i="4"/>
  <c r="M253" i="4"/>
  <c r="M177" i="4" s="1"/>
  <c r="L253" i="4"/>
  <c r="Q251" i="4"/>
  <c r="P251" i="4"/>
  <c r="K251" i="4"/>
  <c r="J251" i="4"/>
  <c r="I251" i="4"/>
  <c r="H251" i="4"/>
  <c r="G251" i="4"/>
  <c r="F251" i="4"/>
  <c r="M248" i="4"/>
  <c r="Q245" i="4"/>
  <c r="P245" i="4"/>
  <c r="O245" i="4"/>
  <c r="N245" i="4"/>
  <c r="L245" i="4"/>
  <c r="K245" i="4"/>
  <c r="J245" i="4"/>
  <c r="I245" i="4"/>
  <c r="H245" i="4"/>
  <c r="G245" i="4"/>
  <c r="F245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J233" i="4"/>
  <c r="Q230" i="4"/>
  <c r="P230" i="4"/>
  <c r="O230" i="4"/>
  <c r="N230" i="4"/>
  <c r="M230" i="4"/>
  <c r="L230" i="4"/>
  <c r="K230" i="4"/>
  <c r="I230" i="4"/>
  <c r="H230" i="4"/>
  <c r="G230" i="4"/>
  <c r="K228" i="4"/>
  <c r="K227" i="4"/>
  <c r="Q225" i="4"/>
  <c r="P225" i="4"/>
  <c r="O225" i="4"/>
  <c r="N225" i="4"/>
  <c r="M225" i="4"/>
  <c r="L225" i="4"/>
  <c r="J225" i="4"/>
  <c r="I225" i="4"/>
  <c r="H225" i="4"/>
  <c r="G225" i="4"/>
  <c r="F225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G218" i="4"/>
  <c r="E218" i="4" s="1"/>
  <c r="Q214" i="4"/>
  <c r="P214" i="4"/>
  <c r="O214" i="4"/>
  <c r="N214" i="4"/>
  <c r="M214" i="4"/>
  <c r="L214" i="4"/>
  <c r="K214" i="4"/>
  <c r="J214" i="4"/>
  <c r="I214" i="4"/>
  <c r="H214" i="4"/>
  <c r="G214" i="4"/>
  <c r="Q208" i="4"/>
  <c r="P208" i="4"/>
  <c r="O208" i="4"/>
  <c r="N208" i="4"/>
  <c r="M208" i="4"/>
  <c r="L208" i="4"/>
  <c r="K208" i="4"/>
  <c r="J208" i="4"/>
  <c r="I208" i="4"/>
  <c r="H208" i="4"/>
  <c r="G208" i="4"/>
  <c r="G206" i="4"/>
  <c r="E206" i="4" s="1"/>
  <c r="N205" i="4"/>
  <c r="N202" i="4" s="1"/>
  <c r="K205" i="4"/>
  <c r="K202" i="4" s="1"/>
  <c r="I205" i="4"/>
  <c r="I202" i="4" s="1"/>
  <c r="H205" i="4"/>
  <c r="G205" i="4"/>
  <c r="N204" i="4"/>
  <c r="E204" i="4" s="1"/>
  <c r="Q202" i="4"/>
  <c r="P202" i="4"/>
  <c r="O202" i="4"/>
  <c r="M202" i="4"/>
  <c r="L202" i="4"/>
  <c r="J202" i="4"/>
  <c r="F202" i="4"/>
  <c r="J197" i="4"/>
  <c r="I197" i="4"/>
  <c r="H197" i="4"/>
  <c r="G197" i="4"/>
  <c r="F197" i="4"/>
  <c r="M195" i="4"/>
  <c r="L195" i="4"/>
  <c r="J195" i="4"/>
  <c r="J192" i="4"/>
  <c r="I195" i="4"/>
  <c r="H195" i="4"/>
  <c r="H192" i="4" s="1"/>
  <c r="Q192" i="4"/>
  <c r="P192" i="4"/>
  <c r="O192" i="4"/>
  <c r="N192" i="4"/>
  <c r="K192" i="4"/>
  <c r="G192" i="4"/>
  <c r="F192" i="4"/>
  <c r="M187" i="4"/>
  <c r="L187" i="4"/>
  <c r="K187" i="4"/>
  <c r="J187" i="4"/>
  <c r="I187" i="4"/>
  <c r="H187" i="4"/>
  <c r="G187" i="4"/>
  <c r="F187" i="4"/>
  <c r="M182" i="4"/>
  <c r="L182" i="4"/>
  <c r="K182" i="4"/>
  <c r="J182" i="4"/>
  <c r="I182" i="4"/>
  <c r="H182" i="4"/>
  <c r="G182" i="4"/>
  <c r="F182" i="4"/>
  <c r="Q180" i="4"/>
  <c r="P180" i="4"/>
  <c r="O180" i="4"/>
  <c r="N180" i="4"/>
  <c r="N30" i="4" s="1"/>
  <c r="N21" i="4" s="1"/>
  <c r="M180" i="4"/>
  <c r="M30" i="4"/>
  <c r="M21" i="4" s="1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AA176" i="4"/>
  <c r="Z176" i="4"/>
  <c r="Y176" i="4"/>
  <c r="X176" i="4"/>
  <c r="W176" i="4"/>
  <c r="Q176" i="4"/>
  <c r="P176" i="4"/>
  <c r="O176" i="4"/>
  <c r="N176" i="4"/>
  <c r="M176" i="4"/>
  <c r="L176" i="4"/>
  <c r="K176" i="4"/>
  <c r="J176" i="4"/>
  <c r="I176" i="4"/>
  <c r="H176" i="4"/>
  <c r="G176" i="4"/>
  <c r="Q145" i="4"/>
  <c r="P145" i="4"/>
  <c r="O145" i="4"/>
  <c r="M145" i="4"/>
  <c r="L145" i="4"/>
  <c r="K145" i="4"/>
  <c r="J145" i="4"/>
  <c r="M143" i="4"/>
  <c r="E143" i="4" s="1"/>
  <c r="Q140" i="4"/>
  <c r="P140" i="4"/>
  <c r="O140" i="4"/>
  <c r="N140" i="4"/>
  <c r="L140" i="4"/>
  <c r="K140" i="4"/>
  <c r="J140" i="4"/>
  <c r="M138" i="4"/>
  <c r="Q135" i="4"/>
  <c r="P135" i="4"/>
  <c r="O135" i="4"/>
  <c r="L135" i="4"/>
  <c r="K135" i="4"/>
  <c r="J135" i="4"/>
  <c r="Q130" i="4"/>
  <c r="P130" i="4"/>
  <c r="O130" i="4"/>
  <c r="N130" i="4"/>
  <c r="M130" i="4"/>
  <c r="L130" i="4"/>
  <c r="K130" i="4"/>
  <c r="J130" i="4"/>
  <c r="L128" i="4"/>
  <c r="E128" i="4" s="1"/>
  <c r="P125" i="4"/>
  <c r="M127" i="4"/>
  <c r="L127" i="4"/>
  <c r="O125" i="4"/>
  <c r="K125" i="4"/>
  <c r="J125" i="4"/>
  <c r="M122" i="4"/>
  <c r="M120" i="4" s="1"/>
  <c r="L122" i="4"/>
  <c r="L120" i="4" s="1"/>
  <c r="Q120" i="4"/>
  <c r="P120" i="4"/>
  <c r="O120" i="4"/>
  <c r="K120" i="4"/>
  <c r="J120" i="4"/>
  <c r="M118" i="4"/>
  <c r="E118" i="4" s="1"/>
  <c r="M117" i="4"/>
  <c r="E117" i="4" s="1"/>
  <c r="Q115" i="4"/>
  <c r="P115" i="4"/>
  <c r="O115" i="4"/>
  <c r="N115" i="4"/>
  <c r="L115" i="4"/>
  <c r="K115" i="4"/>
  <c r="J115" i="4"/>
  <c r="N109" i="4"/>
  <c r="M112" i="4"/>
  <c r="M109" i="4" s="1"/>
  <c r="L112" i="4"/>
  <c r="L109" i="4" s="1"/>
  <c r="Q109" i="4"/>
  <c r="P109" i="4"/>
  <c r="O109" i="4"/>
  <c r="K109" i="4"/>
  <c r="J109" i="4"/>
  <c r="M107" i="4"/>
  <c r="Q104" i="4"/>
  <c r="P104" i="4"/>
  <c r="O104" i="4"/>
  <c r="N104" i="4"/>
  <c r="L104" i="4"/>
  <c r="K104" i="4"/>
  <c r="J104" i="4"/>
  <c r="L101" i="4"/>
  <c r="Q99" i="4"/>
  <c r="P99" i="4"/>
  <c r="O99" i="4"/>
  <c r="N99" i="4"/>
  <c r="M99" i="4"/>
  <c r="K99" i="4"/>
  <c r="J99" i="4"/>
  <c r="M97" i="4"/>
  <c r="L97" i="4"/>
  <c r="M96" i="4"/>
  <c r="L96" i="4"/>
  <c r="Q94" i="4"/>
  <c r="P94" i="4"/>
  <c r="O94" i="4"/>
  <c r="N94" i="4"/>
  <c r="K94" i="4"/>
  <c r="J94" i="4"/>
  <c r="N89" i="4"/>
  <c r="M92" i="4"/>
  <c r="M89" i="4" s="1"/>
  <c r="L92" i="4"/>
  <c r="L89" i="4" s="1"/>
  <c r="I92" i="4"/>
  <c r="I89" i="4"/>
  <c r="H92" i="4"/>
  <c r="H89" i="4" s="1"/>
  <c r="Q89" i="4"/>
  <c r="P89" i="4"/>
  <c r="O89" i="4"/>
  <c r="K89" i="4"/>
  <c r="J89" i="4"/>
  <c r="G89" i="4"/>
  <c r="F89" i="4"/>
  <c r="M87" i="4"/>
  <c r="E87" i="4" s="1"/>
  <c r="Q84" i="4"/>
  <c r="P84" i="4"/>
  <c r="O84" i="4"/>
  <c r="N84" i="4"/>
  <c r="L84" i="4"/>
  <c r="K84" i="4"/>
  <c r="J84" i="4"/>
  <c r="I84" i="4"/>
  <c r="H84" i="4"/>
  <c r="G84" i="4"/>
  <c r="F84" i="4"/>
  <c r="M82" i="4"/>
  <c r="L82" i="4"/>
  <c r="L79" i="4" s="1"/>
  <c r="I82" i="4"/>
  <c r="I79" i="4" s="1"/>
  <c r="H82" i="4"/>
  <c r="H79" i="4" s="1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G68" i="4" s="1"/>
  <c r="G72" i="4"/>
  <c r="M71" i="4"/>
  <c r="M68" i="4" s="1"/>
  <c r="L71" i="4"/>
  <c r="L35" i="4" s="1"/>
  <c r="I71" i="4"/>
  <c r="I68" i="4" s="1"/>
  <c r="H71" i="4"/>
  <c r="H68" i="4"/>
  <c r="G71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P58" i="4"/>
  <c r="O58" i="4"/>
  <c r="M60" i="4"/>
  <c r="L60" i="4"/>
  <c r="L58" i="4" s="1"/>
  <c r="I60" i="4"/>
  <c r="H60" i="4"/>
  <c r="H58" i="4" s="1"/>
  <c r="G60" i="4"/>
  <c r="G58" i="4"/>
  <c r="Q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M50" i="4"/>
  <c r="M48" i="4" s="1"/>
  <c r="L50" i="4"/>
  <c r="L48" i="4" s="1"/>
  <c r="I50" i="4"/>
  <c r="I48" i="4" s="1"/>
  <c r="H50" i="4"/>
  <c r="G50" i="4"/>
  <c r="Q48" i="4"/>
  <c r="P48" i="4"/>
  <c r="K48" i="4"/>
  <c r="J48" i="4"/>
  <c r="J32" i="4" s="1"/>
  <c r="F48" i="4"/>
  <c r="E47" i="4"/>
  <c r="E46" i="4"/>
  <c r="E45" i="4"/>
  <c r="E44" i="4"/>
  <c r="K43" i="4"/>
  <c r="J43" i="4"/>
  <c r="I43" i="4"/>
  <c r="E43" i="4" s="1"/>
  <c r="H43" i="4"/>
  <c r="G43" i="4"/>
  <c r="F43" i="4"/>
  <c r="F41" i="4"/>
  <c r="H40" i="4"/>
  <c r="G40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 s="1"/>
  <c r="J34" i="4"/>
  <c r="M33" i="4"/>
  <c r="L33" i="4"/>
  <c r="K33" i="4"/>
  <c r="J33" i="4"/>
  <c r="I33" i="4"/>
  <c r="H33" i="4"/>
  <c r="H24" i="4" s="1"/>
  <c r="G33" i="4"/>
  <c r="Q31" i="4"/>
  <c r="P31" i="4"/>
  <c r="O31" i="4"/>
  <c r="N31" i="4"/>
  <c r="M31" i="4"/>
  <c r="M22" i="4" s="1"/>
  <c r="L31" i="4"/>
  <c r="K31" i="4"/>
  <c r="J31" i="4"/>
  <c r="I31" i="4"/>
  <c r="H31" i="4"/>
  <c r="F31" i="4"/>
  <c r="Q29" i="4"/>
  <c r="Q20" i="4" s="1"/>
  <c r="P29" i="4"/>
  <c r="P20" i="4" s="1"/>
  <c r="O29" i="4"/>
  <c r="O20" i="4" s="1"/>
  <c r="N29" i="4"/>
  <c r="N20" i="4" s="1"/>
  <c r="M29" i="4"/>
  <c r="M20" i="4" s="1"/>
  <c r="L29" i="4"/>
  <c r="L20" i="4" s="1"/>
  <c r="K29" i="4"/>
  <c r="K20" i="4" s="1"/>
  <c r="J29" i="4"/>
  <c r="J20" i="4" s="1"/>
  <c r="I29" i="4"/>
  <c r="I20" i="4" s="1"/>
  <c r="H29" i="4"/>
  <c r="E26" i="4"/>
  <c r="F25" i="4"/>
  <c r="F23" i="4" s="1"/>
  <c r="M24" i="4"/>
  <c r="M15" i="4" s="1"/>
  <c r="L24" i="4"/>
  <c r="L15" i="4"/>
  <c r="K24" i="4"/>
  <c r="K15" i="4" s="1"/>
  <c r="G24" i="4"/>
  <c r="G15" i="4" s="1"/>
  <c r="F24" i="4"/>
  <c r="AI20" i="4"/>
  <c r="AG20" i="4"/>
  <c r="E17" i="4"/>
  <c r="AB7" i="4"/>
  <c r="G393" i="4"/>
  <c r="K392" i="4"/>
  <c r="G395" i="4"/>
  <c r="I363" i="4"/>
  <c r="M323" i="4"/>
  <c r="M316" i="4" s="1"/>
  <c r="P364" i="4"/>
  <c r="Q430" i="4"/>
  <c r="M115" i="4"/>
  <c r="E455" i="4"/>
  <c r="P175" i="4"/>
  <c r="J362" i="4"/>
  <c r="G363" i="4"/>
  <c r="M369" i="4"/>
  <c r="J392" i="4"/>
  <c r="M395" i="4"/>
  <c r="M390" i="4" s="1"/>
  <c r="L363" i="4"/>
  <c r="M135" i="4"/>
  <c r="O369" i="4"/>
  <c r="I439" i="4"/>
  <c r="L393" i="4"/>
  <c r="J436" i="4"/>
  <c r="I460" i="4"/>
  <c r="K467" i="4"/>
  <c r="M309" i="4"/>
  <c r="M393" i="4"/>
  <c r="K436" i="4"/>
  <c r="I28" i="4"/>
  <c r="M251" i="4"/>
  <c r="L364" i="4"/>
  <c r="I395" i="4"/>
  <c r="I390" i="4" s="1"/>
  <c r="G442" i="4"/>
  <c r="M311" i="4"/>
  <c r="M306" i="4" s="1"/>
  <c r="L369" i="4"/>
  <c r="M140" i="4"/>
  <c r="I367" i="4"/>
  <c r="F28" i="4"/>
  <c r="F19" i="4" s="1"/>
  <c r="M104" i="4"/>
  <c r="M370" i="4"/>
  <c r="L470" i="4"/>
  <c r="M27" i="4"/>
  <c r="E27" i="4" s="1"/>
  <c r="G36" i="4"/>
  <c r="G37" i="4"/>
  <c r="M125" i="4"/>
  <c r="M413" i="4"/>
  <c r="O251" i="4"/>
  <c r="O178" i="4"/>
  <c r="G34" i="4"/>
  <c r="M79" i="4"/>
  <c r="G178" i="4"/>
  <c r="N364" i="4"/>
  <c r="L439" i="4"/>
  <c r="H477" i="4"/>
  <c r="N470" i="4"/>
  <c r="N477" i="4"/>
  <c r="M318" i="4"/>
  <c r="G380" i="4"/>
  <c r="H28" i="4"/>
  <c r="G38" i="4"/>
  <c r="G48" i="4"/>
  <c r="L125" i="4"/>
  <c r="G370" i="4"/>
  <c r="O370" i="4"/>
  <c r="O367" i="4"/>
  <c r="O362" i="4"/>
  <c r="L385" i="4"/>
  <c r="H363" i="4"/>
  <c r="H393" i="4"/>
  <c r="I400" i="4"/>
  <c r="I393" i="4"/>
  <c r="F22" i="4"/>
  <c r="I192" i="4"/>
  <c r="N323" i="4"/>
  <c r="H392" i="4"/>
  <c r="H362" i="4"/>
  <c r="L392" i="4"/>
  <c r="H439" i="4"/>
  <c r="L256" i="4"/>
  <c r="J470" i="4"/>
  <c r="H20" i="4"/>
  <c r="O306" i="4"/>
  <c r="P467" i="4" l="1"/>
  <c r="P436" i="4"/>
  <c r="H436" i="4"/>
  <c r="H433" i="4"/>
  <c r="H19" i="4" s="1"/>
  <c r="J374" i="4"/>
  <c r="K369" i="4"/>
  <c r="M18" i="4"/>
  <c r="E18" i="4" s="1"/>
  <c r="E269" i="4"/>
  <c r="L266" i="4"/>
  <c r="N439" i="4"/>
  <c r="N449" i="4"/>
  <c r="N436" i="4" s="1"/>
  <c r="N415" i="4"/>
  <c r="N410" i="4" s="1"/>
  <c r="N363" i="4"/>
  <c r="N413" i="4"/>
  <c r="Q34" i="4"/>
  <c r="Q125" i="4"/>
  <c r="Q178" i="4"/>
  <c r="Q175" i="4" s="1"/>
  <c r="Q276" i="4"/>
  <c r="E276" i="4" s="1"/>
  <c r="K364" i="4"/>
  <c r="K22" i="4" s="1"/>
  <c r="J25" i="4"/>
  <c r="I34" i="4"/>
  <c r="I25" i="4" s="1"/>
  <c r="I58" i="4"/>
  <c r="G35" i="4"/>
  <c r="E71" i="4"/>
  <c r="E227" i="4"/>
  <c r="K177" i="4"/>
  <c r="E248" i="4"/>
  <c r="M245" i="4"/>
  <c r="E245" i="4" s="1"/>
  <c r="Q362" i="4"/>
  <c r="Q360" i="4" s="1"/>
  <c r="N362" i="4"/>
  <c r="H380" i="4"/>
  <c r="H367" i="4"/>
  <c r="O400" i="4"/>
  <c r="E400" i="4" s="1"/>
  <c r="H460" i="4"/>
  <c r="E461" i="4"/>
  <c r="E460" i="4" s="1"/>
  <c r="M192" i="4"/>
  <c r="M178" i="4"/>
  <c r="L375" i="4"/>
  <c r="L362" i="4"/>
  <c r="I470" i="4"/>
  <c r="I477" i="4"/>
  <c r="I467" i="4" s="1"/>
  <c r="E283" i="4"/>
  <c r="N281" i="4"/>
  <c r="E152" i="4"/>
  <c r="N150" i="4"/>
  <c r="H35" i="4"/>
  <c r="O393" i="4"/>
  <c r="N177" i="4"/>
  <c r="M84" i="4"/>
  <c r="H202" i="4"/>
  <c r="H178" i="4"/>
  <c r="P316" i="4"/>
  <c r="H395" i="4"/>
  <c r="H390" i="4" s="1"/>
  <c r="L442" i="4"/>
  <c r="L436" i="4" s="1"/>
  <c r="L433" i="4"/>
  <c r="L430" i="4" s="1"/>
  <c r="E126" i="4"/>
  <c r="N125" i="4"/>
  <c r="N22" i="4"/>
  <c r="K365" i="4"/>
  <c r="Q365" i="4"/>
  <c r="I433" i="4"/>
  <c r="I430" i="4" s="1"/>
  <c r="O467" i="4"/>
  <c r="L467" i="4"/>
  <c r="E482" i="4"/>
  <c r="E84" i="4"/>
  <c r="E138" i="4"/>
  <c r="I362" i="4"/>
  <c r="I360" i="4" s="1"/>
  <c r="G32" i="4"/>
  <c r="I35" i="4"/>
  <c r="G390" i="4"/>
  <c r="E53" i="4"/>
  <c r="E74" i="4"/>
  <c r="E254" i="4"/>
  <c r="O286" i="4"/>
  <c r="E286" i="4" s="1"/>
  <c r="E382" i="4"/>
  <c r="E394" i="4"/>
  <c r="E405" i="4"/>
  <c r="M467" i="4"/>
  <c r="N317" i="4"/>
  <c r="N330" i="4"/>
  <c r="N316" i="4" s="1"/>
  <c r="N320" i="4"/>
  <c r="N395" i="4"/>
  <c r="N393" i="4"/>
  <c r="E393" i="4" s="1"/>
  <c r="E338" i="4"/>
  <c r="R340" i="4"/>
  <c r="R467" i="4"/>
  <c r="E63" i="4"/>
  <c r="M94" i="4"/>
  <c r="E107" i="4"/>
  <c r="E176" i="4"/>
  <c r="E325" i="4"/>
  <c r="E446" i="4"/>
  <c r="N35" i="4"/>
  <c r="R320" i="4"/>
  <c r="R316" i="4" s="1"/>
  <c r="R430" i="4"/>
  <c r="Q340" i="4"/>
  <c r="E363" i="4"/>
  <c r="E341" i="4"/>
  <c r="T335" i="4"/>
  <c r="E96" i="4"/>
  <c r="L34" i="4"/>
  <c r="L25" i="4" s="1"/>
  <c r="L16" i="4" s="1"/>
  <c r="R125" i="4"/>
  <c r="R34" i="4"/>
  <c r="R32" i="4" s="1"/>
  <c r="G365" i="4"/>
  <c r="E228" i="4"/>
  <c r="K178" i="4"/>
  <c r="K28" i="4" s="1"/>
  <c r="K225" i="4"/>
  <c r="K175" i="4" s="1"/>
  <c r="E253" i="4"/>
  <c r="L177" i="4"/>
  <c r="E177" i="4" s="1"/>
  <c r="M449" i="4"/>
  <c r="M436" i="4" s="1"/>
  <c r="M439" i="4"/>
  <c r="E499" i="4"/>
  <c r="BL496" i="4"/>
  <c r="M35" i="4"/>
  <c r="E35" i="4" s="1"/>
  <c r="I436" i="4"/>
  <c r="E72" i="4"/>
  <c r="G29" i="4"/>
  <c r="H175" i="4"/>
  <c r="L192" i="4"/>
  <c r="E192" i="4" s="1"/>
  <c r="L178" i="4"/>
  <c r="L28" i="4" s="1"/>
  <c r="E205" i="4"/>
  <c r="G202" i="4"/>
  <c r="E264" i="4"/>
  <c r="L261" i="4"/>
  <c r="E261" i="4" s="1"/>
  <c r="L370" i="4"/>
  <c r="L365" i="4" s="1"/>
  <c r="L367" i="4"/>
  <c r="E121" i="4"/>
  <c r="N120" i="4"/>
  <c r="N467" i="4"/>
  <c r="N433" i="4"/>
  <c r="N430" i="4" s="1"/>
  <c r="L251" i="4"/>
  <c r="E251" i="4" s="1"/>
  <c r="L94" i="4"/>
  <c r="E94" i="4" s="1"/>
  <c r="L68" i="4"/>
  <c r="E68" i="4" s="1"/>
  <c r="G179" i="4"/>
  <c r="M470" i="4"/>
  <c r="L22" i="4"/>
  <c r="H48" i="4"/>
  <c r="H32" i="4" s="1"/>
  <c r="H34" i="4"/>
  <c r="H25" i="4" s="1"/>
  <c r="H23" i="4" s="1"/>
  <c r="E60" i="4"/>
  <c r="G25" i="4"/>
  <c r="E73" i="4"/>
  <c r="G31" i="4"/>
  <c r="E31" i="4" s="1"/>
  <c r="E120" i="4"/>
  <c r="F15" i="4"/>
  <c r="J360" i="4"/>
  <c r="F16" i="4"/>
  <c r="E387" i="4"/>
  <c r="G385" i="4"/>
  <c r="G362" i="4"/>
  <c r="G16" i="4" s="1"/>
  <c r="E445" i="4"/>
  <c r="G439" i="4"/>
  <c r="J472" i="4"/>
  <c r="J467" i="4" s="1"/>
  <c r="J433" i="4"/>
  <c r="J430" i="4" s="1"/>
  <c r="Q316" i="4"/>
  <c r="N390" i="4"/>
  <c r="E147" i="4"/>
  <c r="N145" i="4"/>
  <c r="E145" i="4" s="1"/>
  <c r="N34" i="4"/>
  <c r="N58" i="4"/>
  <c r="N385" i="4"/>
  <c r="N365" i="4" s="1"/>
  <c r="N367" i="4"/>
  <c r="E496" i="4"/>
  <c r="I32" i="4"/>
  <c r="E89" i="4"/>
  <c r="I178" i="4"/>
  <c r="M433" i="4"/>
  <c r="M430" i="4" s="1"/>
  <c r="K25" i="4"/>
  <c r="M362" i="4"/>
  <c r="M360" i="4" s="1"/>
  <c r="G436" i="4"/>
  <c r="M367" i="4"/>
  <c r="E367" i="4" s="1"/>
  <c r="E41" i="4"/>
  <c r="F38" i="4"/>
  <c r="M34" i="4"/>
  <c r="M25" i="4" s="1"/>
  <c r="M16" i="4" s="1"/>
  <c r="G28" i="4"/>
  <c r="E101" i="4"/>
  <c r="L99" i="4"/>
  <c r="E233" i="4"/>
  <c r="J230" i="4"/>
  <c r="J175" i="4" s="1"/>
  <c r="J178" i="4"/>
  <c r="J28" i="4" s="1"/>
  <c r="J19" i="4" s="1"/>
  <c r="Q369" i="4"/>
  <c r="Q364" i="4"/>
  <c r="E385" i="4"/>
  <c r="K395" i="4"/>
  <c r="K390" i="4" s="1"/>
  <c r="K362" i="4"/>
  <c r="E418" i="4"/>
  <c r="L415" i="4"/>
  <c r="L410" i="4" s="1"/>
  <c r="E410" i="4" s="1"/>
  <c r="E442" i="4"/>
  <c r="E475" i="4"/>
  <c r="H472" i="4"/>
  <c r="H470" i="4"/>
  <c r="N33" i="4"/>
  <c r="N256" i="4"/>
  <c r="E256" i="4" s="1"/>
  <c r="N178" i="4"/>
  <c r="P370" i="4"/>
  <c r="P365" i="4" s="1"/>
  <c r="P362" i="4"/>
  <c r="P360" i="4" s="1"/>
  <c r="O24" i="4"/>
  <c r="O15" i="4" s="1"/>
  <c r="V15" i="4" s="1"/>
  <c r="R364" i="4"/>
  <c r="R22" i="4" s="1"/>
  <c r="K360" i="4"/>
  <c r="J365" i="4"/>
  <c r="E372" i="4"/>
  <c r="E380" i="4"/>
  <c r="E397" i="4"/>
  <c r="E403" i="4"/>
  <c r="E415" i="4"/>
  <c r="K430" i="4"/>
  <c r="E449" i="4"/>
  <c r="E452" i="4"/>
  <c r="E150" i="4"/>
  <c r="E155" i="4"/>
  <c r="E160" i="4"/>
  <c r="P24" i="4"/>
  <c r="P15" i="4" s="1"/>
  <c r="R276" i="4"/>
  <c r="Q22" i="4"/>
  <c r="E40" i="4"/>
  <c r="E50" i="4"/>
  <c r="E122" i="4"/>
  <c r="E127" i="4"/>
  <c r="I175" i="4"/>
  <c r="M175" i="4"/>
  <c r="G175" i="4"/>
  <c r="E259" i="4"/>
  <c r="E279" i="4"/>
  <c r="P28" i="4"/>
  <c r="E323" i="4"/>
  <c r="E327" i="4"/>
  <c r="E377" i="4"/>
  <c r="E413" i="4"/>
  <c r="H430" i="4"/>
  <c r="E480" i="4"/>
  <c r="P25" i="4"/>
  <c r="Q25" i="4"/>
  <c r="R24" i="4"/>
  <c r="R15" i="4" s="1"/>
  <c r="R28" i="4"/>
  <c r="R19" i="4" s="1"/>
  <c r="E29" i="4"/>
  <c r="E82" i="4"/>
  <c r="E92" i="4"/>
  <c r="E97" i="4"/>
  <c r="E112" i="4"/>
  <c r="E195" i="4"/>
  <c r="E197" i="4"/>
  <c r="E330" i="4"/>
  <c r="H375" i="4"/>
  <c r="H365" i="4" s="1"/>
  <c r="E375" i="4"/>
  <c r="E398" i="4"/>
  <c r="Q24" i="4"/>
  <c r="Q15" i="4" s="1"/>
  <c r="R175" i="4"/>
  <c r="N360" i="4"/>
  <c r="F360" i="4"/>
  <c r="L360" i="4"/>
  <c r="E431" i="4"/>
  <c r="E432" i="4"/>
  <c r="P340" i="4"/>
  <c r="H360" i="4"/>
  <c r="Q28" i="4"/>
  <c r="E392" i="4"/>
  <c r="E343" i="4"/>
  <c r="E342" i="4"/>
  <c r="G430" i="4"/>
  <c r="J16" i="4"/>
  <c r="E440" i="4"/>
  <c r="E299" i="4"/>
  <c r="E308" i="4"/>
  <c r="O390" i="4"/>
  <c r="O430" i="4"/>
  <c r="M28" i="4"/>
  <c r="E311" i="4"/>
  <c r="E306" i="4" s="1"/>
  <c r="E37" i="4"/>
  <c r="E33" i="4"/>
  <c r="E99" i="4"/>
  <c r="E104" i="4"/>
  <c r="E109" i="4"/>
  <c r="E125" i="4"/>
  <c r="E179" i="4"/>
  <c r="E30" i="4"/>
  <c r="E182" i="4"/>
  <c r="E266" i="4"/>
  <c r="E298" i="4"/>
  <c r="E307" i="4"/>
  <c r="E310" i="4"/>
  <c r="E318" i="4"/>
  <c r="E322" i="4"/>
  <c r="E368" i="4"/>
  <c r="E165" i="4"/>
  <c r="E345" i="4"/>
  <c r="G19" i="4"/>
  <c r="E38" i="4"/>
  <c r="E36" i="4"/>
  <c r="E79" i="4"/>
  <c r="E130" i="4"/>
  <c r="E135" i="4"/>
  <c r="E140" i="4"/>
  <c r="E180" i="4"/>
  <c r="E187" i="4"/>
  <c r="E202" i="4"/>
  <c r="E214" i="4"/>
  <c r="E220" i="4"/>
  <c r="E271" i="4"/>
  <c r="E281" i="4"/>
  <c r="E297" i="4"/>
  <c r="E301" i="4"/>
  <c r="E296" i="4" s="1"/>
  <c r="E317" i="4"/>
  <c r="E170" i="4"/>
  <c r="E21" i="4"/>
  <c r="E370" i="4"/>
  <c r="O340" i="4"/>
  <c r="F14" i="4"/>
  <c r="I16" i="4"/>
  <c r="P22" i="4"/>
  <c r="I24" i="4"/>
  <c r="I15" i="4" s="1"/>
  <c r="E48" i="4"/>
  <c r="E58" i="4"/>
  <c r="E115" i="4"/>
  <c r="E208" i="4"/>
  <c r="E230" i="4"/>
  <c r="E235" i="4"/>
  <c r="E240" i="4"/>
  <c r="E300" i="4"/>
  <c r="E309" i="4"/>
  <c r="E361" i="4"/>
  <c r="E366" i="4"/>
  <c r="O365" i="4"/>
  <c r="E335" i="4"/>
  <c r="O360" i="4"/>
  <c r="O22" i="4"/>
  <c r="V22" i="4" s="1"/>
  <c r="O175" i="4"/>
  <c r="R390" i="4"/>
  <c r="R360" i="4"/>
  <c r="H15" i="4"/>
  <c r="J24" i="4"/>
  <c r="Q32" i="4"/>
  <c r="P32" i="4"/>
  <c r="R436" i="4"/>
  <c r="O32" i="4"/>
  <c r="O436" i="4"/>
  <c r="E436" i="4" s="1"/>
  <c r="O28" i="4"/>
  <c r="O19" i="4" s="1"/>
  <c r="V19" i="4" s="1"/>
  <c r="O25" i="4"/>
  <c r="L23" i="4" l="1"/>
  <c r="L19" i="4"/>
  <c r="L14" i="4" s="1"/>
  <c r="N32" i="4"/>
  <c r="I374" i="4"/>
  <c r="J369" i="4"/>
  <c r="J364" i="4"/>
  <c r="J22" i="4" s="1"/>
  <c r="H16" i="4"/>
  <c r="Q16" i="4"/>
  <c r="W16" i="4" s="1"/>
  <c r="X16" i="4" s="1"/>
  <c r="E470" i="4"/>
  <c r="E178" i="4"/>
  <c r="I19" i="4"/>
  <c r="AZ15" i="4" s="1"/>
  <c r="E390" i="4"/>
  <c r="E477" i="4"/>
  <c r="N24" i="4"/>
  <c r="N15" i="4" s="1"/>
  <c r="N14" i="4" s="1"/>
  <c r="E316" i="4"/>
  <c r="E439" i="4"/>
  <c r="E320" i="4"/>
  <c r="E395" i="4"/>
  <c r="N25" i="4"/>
  <c r="P16" i="4"/>
  <c r="N175" i="4"/>
  <c r="K16" i="4"/>
  <c r="AW14" i="4" s="1"/>
  <c r="N28" i="4"/>
  <c r="N19" i="4" s="1"/>
  <c r="E340" i="4"/>
  <c r="P23" i="4"/>
  <c r="K19" i="4"/>
  <c r="K23" i="4"/>
  <c r="G20" i="4"/>
  <c r="E20" i="4" s="1"/>
  <c r="G23" i="4"/>
  <c r="N16" i="4"/>
  <c r="AK16" i="4" s="1"/>
  <c r="AK23" i="4" s="1"/>
  <c r="E433" i="4"/>
  <c r="E472" i="4"/>
  <c r="H467" i="4"/>
  <c r="E467" i="4" s="1"/>
  <c r="E362" i="4"/>
  <c r="E34" i="4"/>
  <c r="G360" i="4"/>
  <c r="L175" i="4"/>
  <c r="E175" i="4" s="1"/>
  <c r="L32" i="4"/>
  <c r="E365" i="4"/>
  <c r="R25" i="4"/>
  <c r="R16" i="4" s="1"/>
  <c r="E225" i="4"/>
  <c r="M32" i="4"/>
  <c r="AE16" i="4"/>
  <c r="E430" i="4"/>
  <c r="I23" i="4"/>
  <c r="E360" i="4"/>
  <c r="F487" i="4"/>
  <c r="E24" i="4"/>
  <c r="AG16" i="4"/>
  <c r="AG22" i="4" s="1"/>
  <c r="M19" i="4"/>
  <c r="M23" i="4"/>
  <c r="E28" i="4"/>
  <c r="J23" i="4"/>
  <c r="J15" i="4"/>
  <c r="E15" i="4" s="1"/>
  <c r="AY15" i="4"/>
  <c r="P19" i="4"/>
  <c r="Q23" i="4"/>
  <c r="Q19" i="4"/>
  <c r="O23" i="4"/>
  <c r="O16" i="4"/>
  <c r="AO16" i="4" l="1"/>
  <c r="H374" i="4"/>
  <c r="I364" i="4"/>
  <c r="I22" i="4" s="1"/>
  <c r="I14" i="4" s="1"/>
  <c r="I369" i="4"/>
  <c r="AC16" i="4"/>
  <c r="AC23" i="4" s="1"/>
  <c r="E32" i="4"/>
  <c r="AQ16" i="4"/>
  <c r="AQ23" i="4" s="1"/>
  <c r="K14" i="4"/>
  <c r="N23" i="4"/>
  <c r="X14" i="4" s="1"/>
  <c r="R23" i="4"/>
  <c r="AT16" i="4"/>
  <c r="AT23" i="4" s="1"/>
  <c r="R14" i="4"/>
  <c r="E25" i="4"/>
  <c r="E16" i="4"/>
  <c r="M14" i="4"/>
  <c r="AI16" i="4"/>
  <c r="AI23" i="4" s="1"/>
  <c r="E19" i="4"/>
  <c r="AA15" i="4"/>
  <c r="Y10" i="4"/>
  <c r="J14" i="4"/>
  <c r="AV14" i="4"/>
  <c r="AO23" i="4"/>
  <c r="P14" i="4"/>
  <c r="Q14" i="4"/>
  <c r="O14" i="4"/>
  <c r="AM16" i="4"/>
  <c r="AM23" i="4" s="1"/>
  <c r="V16" i="4"/>
  <c r="V14" i="4" s="1"/>
  <c r="E23" i="4" l="1"/>
  <c r="G374" i="4"/>
  <c r="H369" i="4"/>
  <c r="H364" i="4"/>
  <c r="H22" i="4" s="1"/>
  <c r="H14" i="4" s="1"/>
  <c r="T14" i="4"/>
  <c r="U9" i="4"/>
  <c r="W9" i="4" s="1"/>
  <c r="F374" i="4" l="1"/>
  <c r="E374" i="4" s="1"/>
  <c r="G364" i="4"/>
  <c r="G369" i="4"/>
  <c r="E369" i="4" s="1"/>
  <c r="E364" i="4" l="1"/>
  <c r="G22" i="4"/>
  <c r="G14" i="4" l="1"/>
  <c r="E22" i="4"/>
  <c r="E14" i="4" l="1"/>
  <c r="S14" i="4"/>
  <c r="AC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M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2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в решении думы не внесено</t>
        </r>
      </text>
    </comment>
    <comment ref="O49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<sst xmlns="http://schemas.openxmlformats.org/spreadsheetml/2006/main" count="785" uniqueCount="253">
  <si>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</si>
  <si>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</si>
  <si>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</si>
  <si>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</si>
  <si>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</si>
  <si>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</si>
  <si>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</si>
  <si>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</si>
  <si>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</si>
  <si>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</si>
  <si>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</si>
  <si>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</si>
  <si>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</si>
  <si>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</si>
  <si>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</si>
  <si>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</si>
  <si>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</si>
  <si>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</si>
  <si>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</si>
  <si>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</si>
  <si>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</si>
  <si>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</si>
  <si>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</si>
  <si>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</si>
  <si>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</si>
  <si>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</si>
  <si>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</si>
  <si>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</si>
  <si>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</si>
  <si>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</si>
  <si>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</si>
  <si>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</si>
  <si>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</si>
  <si>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</si>
  <si>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</si>
  <si>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</si>
  <si>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</si>
  <si>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</si>
  <si>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</si>
  <si>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</si>
  <si>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</si>
  <si>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</si>
  <si>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</si>
  <si>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</si>
  <si>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</si>
  <si>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</si>
  <si>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</si>
  <si>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</si>
  <si>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</si>
  <si>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</si>
  <si>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</si>
  <si>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</si>
  <si>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</si>
  <si>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</si>
  <si>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</si>
  <si>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</si>
  <si>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</si>
  <si>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</si>
  <si>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</si>
  <si>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</si>
  <si>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</si>
  <si>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</si>
  <si>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</si>
  <si>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</si>
  <si>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</si>
  <si>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</si>
  <si>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</si>
  <si>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</si>
  <si>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</si>
  <si>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</si>
  <si>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</si>
  <si>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</si>
  <si>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</si>
  <si>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</si>
  <si>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</si>
  <si>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</si>
  <si>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</si>
  <si>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</si>
  <si>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</si>
  <si>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</si>
  <si>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</si>
  <si>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</si>
  <si>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</si>
  <si>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</si>
  <si>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</si>
  <si>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</si>
  <si>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</si>
  <si>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</si>
  <si>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</si>
  <si>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</si>
  <si>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</si>
  <si>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</si>
  <si>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</si>
  <si>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</si>
  <si>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</si>
  <si>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</si>
  <si>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</si>
  <si>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</si>
  <si>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</si>
  <si>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</si>
  <si>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</si>
  <si>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</si>
  <si>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</si>
  <si>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</si>
  <si>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</si>
  <si>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</si>
  <si>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</si>
  <si>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</si>
  <si>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</si>
  <si>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</si>
  <si>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</si>
  <si>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</si>
  <si>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</si>
  <si>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</si>
  <si>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</si>
  <si>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</si>
  <si>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</si>
  <si>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</si>
  <si>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</si>
  <si>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</si>
  <si>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</si>
  <si>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</si>
  <si>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</si>
  <si>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</si>
  <si>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</si>
  <si>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</si>
  <si>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</si>
  <si>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</si>
  <si>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</si>
  <si>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</si>
  <si>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</si>
  <si>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</si>
  <si>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</si>
  <si>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</si>
  <si>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</si>
  <si>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</si>
  <si>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</si>
  <si>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</si>
  <si>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</si>
  <si>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</si>
  <si>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</si>
  <si>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</si>
  <si>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</si>
  <si>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</si>
  <si>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</si>
  <si>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</si>
  <si>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</si>
  <si>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</si>
  <si>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</si>
  <si>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</si>
  <si>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</si>
  <si>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</si>
  <si>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</si>
  <si>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</si>
  <si>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</si>
  <si>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</si>
  <si>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</si>
  <si>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</si>
  <si>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</si>
  <si>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</si>
  <si>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</si>
  <si>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</si>
  <si>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</si>
  <si>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</si>
  <si>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</si>
  <si>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</si>
  <si>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</si>
  <si>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</si>
  <si>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</si>
  <si>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</si>
  <si>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</si>
  <si>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</si>
  <si>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</si>
  <si>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</si>
  <si>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</si>
  <si>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</si>
  <si>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</si>
  <si>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</si>
  <si>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</si>
  <si>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</si>
  <si>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</si>
  <si>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</si>
  <si>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</si>
  <si>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</si>
  <si>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</si>
  <si>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</si>
  <si>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</si>
  <si>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</si>
  <si>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</si>
  <si>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</si>
  <si>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</si>
  <si>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</si>
  <si>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</si>
  <si>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</si>
  <si>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</si>
  <si>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</si>
  <si>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</si>
  <si>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</si>
  <si>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</si>
  <si>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</si>
  <si>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</si>
  <si>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</si>
  <si>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</si>
  <si>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</si>
  <si>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</si>
  <si>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</si>
  <si>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</si>
  <si>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</si>
  <si>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</si>
  <si>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</si>
  <si>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</si>
  <si>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</si>
  <si>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</si>
  <si>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</si>
  <si>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</si>
  <si>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</si>
  <si>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</si>
  <si>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</si>
  <si>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</si>
  <si>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</si>
  <si>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</si>
  <si>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</si>
  <si>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</si>
  <si>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</si>
  <si>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</si>
  <si>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</si>
  <si>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</si>
  <si>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</si>
  <si>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</si>
  <si>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</si>
  <si>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</si>
  <si>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</si>
  <si>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</si>
  <si>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</si>
  <si>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</si>
  <si>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</si>
  <si>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</si>
  <si>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</si>
  <si>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</si>
  <si>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</si>
  <si>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</si>
  <si>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 xml:space="preserve">Мероприятие 1.1.12 </t>
  </si>
  <si>
    <t>Основное мероприятие 1.7</t>
  </si>
  <si>
    <t>Региональный проект "Спорт - норма жизни"</t>
  </si>
  <si>
    <t>Мероприятие 1.7.1</t>
  </si>
  <si>
    <t>Государственная поддержка организаций, входящих в систему спортивной подготовки</t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</si>
  <si>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используемой в 2023 году применяется в редакции постановления  администрации города Благовещенска от 12.01.2024  № 49 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</si>
  <si>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r>
      <t xml:space="preserve"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 </t>
    </r>
    <r>
      <rPr>
        <sz val="12"/>
        <rFont val="Calibri"/>
        <family val="2"/>
        <charset val="204"/>
      </rPr>
      <t>*****</t>
    </r>
  </si>
  <si>
    <t>администрации города Благовещенска</t>
  </si>
  <si>
    <t>уточнить по возврату продвижение</t>
  </si>
  <si>
    <r>
      <t>Мероприятие 1.5.3</t>
    </r>
    <r>
      <rPr>
        <b/>
        <sz val="12"/>
        <rFont val="Calibri"/>
        <family val="2"/>
        <charset val="204"/>
      </rPr>
      <t>****</t>
    </r>
  </si>
  <si>
    <t>Приложение  № 3  к постановлению</t>
  </si>
  <si>
    <t>от 10.07.2024 № 3167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</si>
</sst>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3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.5"/>
      <name val="Times New Roman"/>
      <family val="1"/>
      <charset val="204"/>
    </font>
    <font>
      <sz val="11.5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11.5"/>
      <color rgb="FFFF0000"/>
      <name val="Times New Roman"/>
      <family val="1"/>
      <charset val="204"/>
    </font>
    <font>
      <sz val="11.5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426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164" fontId="1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vertical="top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4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top" wrapText="1"/>
    </xf>
    <xf numFmtId="49" fontId="21" fillId="2" borderId="11" xfId="0" applyNumberFormat="1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vertical="top"/>
    </xf>
    <xf numFmtId="0" fontId="21" fillId="2" borderId="12" xfId="0" applyFont="1" applyFill="1" applyBorder="1" applyAlignment="1">
      <alignment horizontal="left" vertical="top" wrapText="1"/>
    </xf>
    <xf numFmtId="164" fontId="4" fillId="3" borderId="0" xfId="0" applyNumberFormat="1" applyFont="1" applyFill="1" applyBorder="1"/>
    <xf numFmtId="164" fontId="5" fillId="3" borderId="0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11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/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/>
    <xf numFmtId="0" fontId="2" fillId="2" borderId="4" xfId="0" applyFont="1" applyFill="1" applyBorder="1"/>
    <xf numFmtId="0" fontId="3" fillId="2" borderId="0" xfId="0" applyFont="1" applyFill="1" applyBorder="1" applyAlignment="1">
      <alignment wrapText="1"/>
    </xf>
    <xf numFmtId="0" fontId="2" fillId="3" borderId="0" xfId="0" applyFont="1" applyFill="1"/>
    <xf numFmtId="0" fontId="1" fillId="3" borderId="0" xfId="0" applyFont="1" applyFill="1"/>
    <xf numFmtId="4" fontId="23" fillId="3" borderId="0" xfId="0" applyNumberFormat="1" applyFont="1" applyFill="1"/>
    <xf numFmtId="4" fontId="2" fillId="4" borderId="0" xfId="0" applyNumberFormat="1" applyFont="1" applyFill="1"/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4" fillId="2" borderId="5" xfId="0" applyFont="1" applyFill="1" applyBorder="1" applyAlignment="1"/>
    <xf numFmtId="0" fontId="10" fillId="2" borderId="5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164" fontId="5" fillId="0" borderId="3" xfId="0" applyNumberFormat="1" applyFont="1" applyFill="1" applyBorder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164" fontId="4" fillId="0" borderId="3" xfId="0" applyNumberFormat="1" applyFont="1" applyFill="1" applyBorder="1"/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49" fontId="21" fillId="2" borderId="2" xfId="0" applyNumberFormat="1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left" vertical="top"/>
    </xf>
    <xf numFmtId="0" fontId="31" fillId="2" borderId="12" xfId="0" applyFont="1" applyFill="1" applyBorder="1" applyAlignment="1">
      <alignment vertical="top" wrapText="1"/>
    </xf>
    <xf numFmtId="164" fontId="32" fillId="2" borderId="3" xfId="0" applyNumberFormat="1" applyFont="1" applyFill="1" applyBorder="1"/>
    <xf numFmtId="164" fontId="30" fillId="0" borderId="3" xfId="0" applyNumberFormat="1" applyFont="1" applyFill="1" applyBorder="1"/>
    <xf numFmtId="164" fontId="19" fillId="2" borderId="3" xfId="0" applyNumberFormat="1" applyFont="1" applyFill="1" applyBorder="1"/>
    <xf numFmtId="0" fontId="21" fillId="2" borderId="2" xfId="0" applyFont="1" applyFill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/>
    </xf>
    <xf numFmtId="0" fontId="4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" fontId="24" fillId="2" borderId="2" xfId="2" applyNumberFormat="1" applyFont="1" applyFill="1" applyBorder="1" applyAlignment="1">
      <alignment vertical="top" wrapText="1"/>
    </xf>
    <xf numFmtId="0" fontId="25" fillId="2" borderId="5" xfId="0" applyFont="1" applyFill="1" applyBorder="1" applyAlignment="1">
      <alignment vertical="top" wrapText="1"/>
    </xf>
    <xf numFmtId="0" fontId="25" fillId="2" borderId="4" xfId="0" applyFont="1" applyFill="1" applyBorder="1" applyAlignment="1">
      <alignment vertical="top" wrapText="1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5" fontId="2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5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1" fontId="21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4" fillId="2" borderId="2" xfId="0" applyFont="1" applyFill="1" applyBorder="1" applyAlignment="1">
      <alignment horizontal="left" vertical="top" wrapText="1"/>
    </xf>
    <xf numFmtId="0" fontId="25" fillId="2" borderId="5" xfId="0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top" wrapText="1"/>
    </xf>
    <xf numFmtId="165" fontId="24" fillId="2" borderId="5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0" fillId="2" borderId="2" xfId="0" applyFont="1" applyFill="1" applyBorder="1" applyAlignment="1">
      <alignment horizontal="left" vertical="top" wrapText="1"/>
    </xf>
    <xf numFmtId="0" fontId="30" fillId="2" borderId="5" xfId="0" applyFont="1" applyFill="1" applyBorder="1" applyAlignment="1">
      <alignment horizontal="left" vertical="top" wrapText="1"/>
    </xf>
    <xf numFmtId="0" fontId="30" fillId="2" borderId="4" xfId="0" applyFont="1" applyFill="1" applyBorder="1" applyAlignment="1">
      <alignment horizontal="left" vertical="top" wrapText="1"/>
    </xf>
    <xf numFmtId="0" fontId="30" fillId="2" borderId="10" xfId="0" applyFont="1" applyFill="1" applyBorder="1" applyAlignment="1">
      <alignment vertical="top" wrapText="1"/>
    </xf>
    <xf numFmtId="0" fontId="0" fillId="0" borderId="11" xfId="0" applyFont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" fontId="21" fillId="2" borderId="6" xfId="0" applyNumberFormat="1" applyFont="1" applyFill="1" applyBorder="1" applyAlignment="1">
      <alignment vertical="top" wrapText="1"/>
    </xf>
    <xf numFmtId="0" fontId="20" fillId="2" borderId="8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top"/>
    </xf>
    <xf numFmtId="0" fontId="10" fillId="2" borderId="4" xfId="0" applyFont="1" applyFill="1" applyBorder="1" applyAlignment="1">
      <alignment vertical="top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27" fillId="2" borderId="11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/>
    </xf>
    <xf numFmtId="0" fontId="0" fillId="0" borderId="4" xfId="0" applyBorder="1" applyAlignment="1">
      <alignment vertical="top"/>
    </xf>
    <xf numFmtId="1" fontId="4" fillId="2" borderId="5" xfId="2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0" fontId="28" fillId="2" borderId="2" xfId="0" applyFont="1" applyFill="1" applyBorder="1" applyAlignment="1">
      <alignment vertical="top" wrapText="1"/>
    </xf>
    <xf numFmtId="0" fontId="29" fillId="2" borderId="5" xfId="0" applyFont="1" applyFill="1" applyBorder="1" applyAlignment="1">
      <alignment vertical="top"/>
    </xf>
    <xf numFmtId="0" fontId="29" fillId="2" borderId="4" xfId="0" applyFont="1" applyFill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49" fontId="21" fillId="2" borderId="2" xfId="0" applyNumberFormat="1" applyFont="1" applyFill="1" applyBorder="1" applyAlignment="1">
      <alignment horizontal="left" vertical="top" wrapText="1"/>
    </xf>
    <xf numFmtId="0" fontId="20" fillId="0" borderId="5" xfId="0" applyFont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/>
    <xf numFmtId="0" fontId="3" fillId="2" borderId="9" xfId="0" applyFont="1" applyFill="1" applyBorder="1" applyAlignment="1"/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H509"/>
  <sheetViews>
    <sheetView tabSelected="1" topLeftCell="I1" zoomScaleNormal="100" zoomScaleSheetLayoutView="62" workbookViewId="0">
      <selection activeCell="BI6" sqref="BI6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7109375" style="2" customWidth="1"/>
    <col min="11" max="11" width="16.28515625" style="2" customWidth="1"/>
    <col min="12" max="12" width="14.42578125" style="2" customWidth="1"/>
    <col min="13" max="13" width="13.85546875" style="2" customWidth="1"/>
    <col min="14" max="14" width="14.7109375" style="2" customWidth="1"/>
    <col min="15" max="16" width="14.42578125" style="2" customWidth="1"/>
    <col min="17" max="17" width="16.85546875" style="2" customWidth="1"/>
    <col min="18" max="18" width="14.28515625" style="2" customWidth="1"/>
    <col min="19" max="19" width="14.28515625" style="2" hidden="1" customWidth="1"/>
    <col min="20" max="20" width="15.85546875" style="2" hidden="1" customWidth="1"/>
    <col min="21" max="22" width="14.7109375" style="2" hidden="1" customWidth="1"/>
    <col min="23" max="23" width="12.5703125" style="1" hidden="1" customWidth="1"/>
    <col min="24" max="24" width="15" style="1" hidden="1" customWidth="1"/>
    <col min="25" max="25" width="11.42578125" style="1" hidden="1" customWidth="1"/>
    <col min="26" max="26" width="9.140625" style="1" hidden="1" customWidth="1"/>
    <col min="27" max="27" width="12" style="1" hidden="1" customWidth="1"/>
    <col min="28" max="29" width="13.140625" style="1" hidden="1" customWidth="1"/>
    <col min="30" max="30" width="9.140625" style="1" hidden="1" customWidth="1"/>
    <col min="31" max="31" width="13.85546875" style="1" hidden="1" customWidth="1"/>
    <col min="32" max="32" width="13.42578125" style="1" hidden="1" customWidth="1"/>
    <col min="33" max="33" width="13.5703125" style="1" hidden="1" customWidth="1"/>
    <col min="34" max="35" width="13.7109375" style="1" hidden="1" customWidth="1"/>
    <col min="36" max="36" width="9.140625" style="1" hidden="1" customWidth="1"/>
    <col min="37" max="37" width="12.28515625" style="1" hidden="1" customWidth="1"/>
    <col min="38" max="38" width="9.140625" style="1" hidden="1" customWidth="1"/>
    <col min="39" max="39" width="13.7109375" style="1" hidden="1" customWidth="1"/>
    <col min="40" max="40" width="9.140625" style="1" hidden="1" customWidth="1"/>
    <col min="41" max="41" width="13.28515625" style="1" hidden="1" customWidth="1"/>
    <col min="42" max="42" width="9.140625" style="1" hidden="1" customWidth="1"/>
    <col min="43" max="43" width="11.7109375" style="1" hidden="1" customWidth="1"/>
    <col min="44" max="45" width="9.140625" style="1" hidden="1" customWidth="1"/>
    <col min="46" max="46" width="11.28515625" style="1" hidden="1" customWidth="1"/>
    <col min="47" max="47" width="9.140625" style="1" hidden="1" customWidth="1"/>
    <col min="48" max="48" width="13" style="1" hidden="1" customWidth="1"/>
    <col min="49" max="49" width="16.42578125" style="1" hidden="1" customWidth="1"/>
    <col min="50" max="50" width="9.140625" style="1" hidden="1" customWidth="1"/>
    <col min="51" max="51" width="11.7109375" style="1" hidden="1" customWidth="1"/>
    <col min="52" max="52" width="11.85546875" style="1" hidden="1" customWidth="1"/>
    <col min="53" max="54" width="9.140625" style="1" hidden="1" customWidth="1"/>
    <col min="55" max="55" width="0.140625" style="1" customWidth="1"/>
    <col min="56" max="56" width="14.140625" style="1" hidden="1" customWidth="1"/>
    <col min="57" max="57" width="19.85546875" style="1" hidden="1" customWidth="1"/>
    <col min="58" max="59" width="9.140625" style="1" hidden="1" customWidth="1"/>
    <col min="60" max="63" width="9.140625" style="1" customWidth="1"/>
    <col min="64" max="65" width="11.28515625" style="1" customWidth="1"/>
    <col min="66" max="66" width="11.85546875" style="1" customWidth="1"/>
    <col min="67" max="67" width="11.28515625" style="1" customWidth="1"/>
    <col min="68" max="269" width="9.140625" style="1" customWidth="1"/>
    <col min="270" max="270" width="56.140625" style="1" customWidth="1"/>
    <col min="271" max="276" width="7.7109375" style="1"/>
    <col min="277" max="277" width="20.42578125" style="1" customWidth="1"/>
    <col min="278" max="278" width="37.42578125" style="1" customWidth="1"/>
    <col min="279" max="279" width="0" style="1" hidden="1" customWidth="1"/>
    <col min="280" max="280" width="27" style="1" customWidth="1"/>
    <col min="281" max="281" width="16.42578125" style="1" customWidth="1"/>
    <col min="282" max="282" width="0" style="1" hidden="1" customWidth="1"/>
    <col min="283" max="283" width="15.140625" style="1" customWidth="1"/>
    <col min="284" max="284" width="16.42578125" style="1" customWidth="1"/>
    <col min="285" max="285" width="16.5703125" style="1" customWidth="1"/>
    <col min="286" max="286" width="14.42578125" style="1" customWidth="1"/>
    <col min="287" max="287" width="16.5703125" style="1" customWidth="1"/>
    <col min="288" max="288" width="15.140625" style="1" customWidth="1"/>
    <col min="289" max="300" width="0" style="1" hidden="1" customWidth="1"/>
    <col min="301" max="301" width="9.140625" style="1" customWidth="1"/>
    <col min="302" max="303" width="0" style="1" hidden="1" customWidth="1"/>
    <col min="304" max="304" width="9.140625" style="1" customWidth="1"/>
    <col min="305" max="306" width="0" style="1" hidden="1" customWidth="1"/>
    <col min="307" max="525" width="9.140625" style="1" customWidth="1"/>
    <col min="526" max="526" width="56.140625" style="1" customWidth="1"/>
    <col min="527" max="532" width="7.7109375" style="1"/>
    <col min="533" max="533" width="20.42578125" style="1" customWidth="1"/>
    <col min="534" max="534" width="37.42578125" style="1" customWidth="1"/>
    <col min="535" max="535" width="0" style="1" hidden="1" customWidth="1"/>
    <col min="536" max="536" width="27" style="1" customWidth="1"/>
    <col min="537" max="537" width="16.42578125" style="1" customWidth="1"/>
    <col min="538" max="538" width="0" style="1" hidden="1" customWidth="1"/>
    <col min="539" max="539" width="15.140625" style="1" customWidth="1"/>
    <col min="540" max="540" width="16.42578125" style="1" customWidth="1"/>
    <col min="541" max="541" width="16.5703125" style="1" customWidth="1"/>
    <col min="542" max="542" width="14.42578125" style="1" customWidth="1"/>
    <col min="543" max="543" width="16.5703125" style="1" customWidth="1"/>
    <col min="544" max="544" width="15.140625" style="1" customWidth="1"/>
    <col min="545" max="556" width="0" style="1" hidden="1" customWidth="1"/>
    <col min="557" max="557" width="9.140625" style="1" customWidth="1"/>
    <col min="558" max="559" width="0" style="1" hidden="1" customWidth="1"/>
    <col min="560" max="560" width="9.140625" style="1" customWidth="1"/>
    <col min="561" max="562" width="0" style="1" hidden="1" customWidth="1"/>
    <col min="563" max="781" width="9.140625" style="1" customWidth="1"/>
    <col min="782" max="782" width="56.140625" style="1" customWidth="1"/>
    <col min="783" max="788" width="7.7109375" style="1"/>
    <col min="789" max="789" width="20.42578125" style="1" customWidth="1"/>
    <col min="790" max="790" width="37.42578125" style="1" customWidth="1"/>
    <col min="791" max="791" width="0" style="1" hidden="1" customWidth="1"/>
    <col min="792" max="792" width="27" style="1" customWidth="1"/>
    <col min="793" max="793" width="16.42578125" style="1" customWidth="1"/>
    <col min="794" max="794" width="0" style="1" hidden="1" customWidth="1"/>
    <col min="795" max="795" width="15.140625" style="1" customWidth="1"/>
    <col min="796" max="796" width="16.42578125" style="1" customWidth="1"/>
    <col min="797" max="797" width="16.5703125" style="1" customWidth="1"/>
    <col min="798" max="798" width="14.42578125" style="1" customWidth="1"/>
    <col min="799" max="799" width="16.5703125" style="1" customWidth="1"/>
    <col min="800" max="800" width="15.140625" style="1" customWidth="1"/>
    <col min="801" max="812" width="0" style="1" hidden="1" customWidth="1"/>
    <col min="813" max="813" width="9.140625" style="1" customWidth="1"/>
    <col min="814" max="815" width="0" style="1" hidden="1" customWidth="1"/>
    <col min="816" max="816" width="9.140625" style="1" customWidth="1"/>
    <col min="817" max="818" width="0" style="1" hidden="1" customWidth="1"/>
    <col min="819" max="1037" width="9.140625" style="1" customWidth="1"/>
    <col min="1038" max="1038" width="56.140625" style="1" customWidth="1"/>
    <col min="1039" max="1044" width="7.7109375" style="1"/>
    <col min="1045" max="1045" width="20.42578125" style="1" customWidth="1"/>
    <col min="1046" max="1046" width="37.42578125" style="1" customWidth="1"/>
    <col min="1047" max="1047" width="0" style="1" hidden="1" customWidth="1"/>
    <col min="1048" max="1048" width="27" style="1" customWidth="1"/>
    <col min="1049" max="1049" width="16.42578125" style="1" customWidth="1"/>
    <col min="1050" max="1050" width="0" style="1" hidden="1" customWidth="1"/>
    <col min="1051" max="1051" width="15.140625" style="1" customWidth="1"/>
    <col min="1052" max="1052" width="16.42578125" style="1" customWidth="1"/>
    <col min="1053" max="1053" width="16.5703125" style="1" customWidth="1"/>
    <col min="1054" max="1054" width="14.42578125" style="1" customWidth="1"/>
    <col min="1055" max="1055" width="16.5703125" style="1" customWidth="1"/>
    <col min="1056" max="1056" width="15.140625" style="1" customWidth="1"/>
    <col min="1057" max="1068" width="0" style="1" hidden="1" customWidth="1"/>
    <col min="1069" max="1069" width="9.140625" style="1" customWidth="1"/>
    <col min="1070" max="1071" width="0" style="1" hidden="1" customWidth="1"/>
    <col min="1072" max="1072" width="9.140625" style="1" customWidth="1"/>
    <col min="1073" max="1074" width="0" style="1" hidden="1" customWidth="1"/>
    <col min="1075" max="1293" width="9.140625" style="1" customWidth="1"/>
    <col min="1294" max="1294" width="56.140625" style="1" customWidth="1"/>
    <col min="1295" max="1300" width="7.7109375" style="1"/>
    <col min="1301" max="1301" width="20.42578125" style="1" customWidth="1"/>
    <col min="1302" max="1302" width="37.42578125" style="1" customWidth="1"/>
    <col min="1303" max="1303" width="0" style="1" hidden="1" customWidth="1"/>
    <col min="1304" max="1304" width="27" style="1" customWidth="1"/>
    <col min="1305" max="1305" width="16.42578125" style="1" customWidth="1"/>
    <col min="1306" max="1306" width="0" style="1" hidden="1" customWidth="1"/>
    <col min="1307" max="1307" width="15.140625" style="1" customWidth="1"/>
    <col min="1308" max="1308" width="16.42578125" style="1" customWidth="1"/>
    <col min="1309" max="1309" width="16.5703125" style="1" customWidth="1"/>
    <col min="1310" max="1310" width="14.42578125" style="1" customWidth="1"/>
    <col min="1311" max="1311" width="16.5703125" style="1" customWidth="1"/>
    <col min="1312" max="1312" width="15.140625" style="1" customWidth="1"/>
    <col min="1313" max="1324" width="0" style="1" hidden="1" customWidth="1"/>
    <col min="1325" max="1325" width="9.140625" style="1" customWidth="1"/>
    <col min="1326" max="1327" width="0" style="1" hidden="1" customWidth="1"/>
    <col min="1328" max="1328" width="9.140625" style="1" customWidth="1"/>
    <col min="1329" max="1330" width="0" style="1" hidden="1" customWidth="1"/>
    <col min="1331" max="1549" width="9.140625" style="1" customWidth="1"/>
    <col min="1550" max="1550" width="56.140625" style="1" customWidth="1"/>
    <col min="1551" max="1556" width="7.7109375" style="1"/>
    <col min="1557" max="1557" width="20.42578125" style="1" customWidth="1"/>
    <col min="1558" max="1558" width="37.42578125" style="1" customWidth="1"/>
    <col min="1559" max="1559" width="0" style="1" hidden="1" customWidth="1"/>
    <col min="1560" max="1560" width="27" style="1" customWidth="1"/>
    <col min="1561" max="1561" width="16.42578125" style="1" customWidth="1"/>
    <col min="1562" max="1562" width="0" style="1" hidden="1" customWidth="1"/>
    <col min="1563" max="1563" width="15.140625" style="1" customWidth="1"/>
    <col min="1564" max="1564" width="16.42578125" style="1" customWidth="1"/>
    <col min="1565" max="1565" width="16.5703125" style="1" customWidth="1"/>
    <col min="1566" max="1566" width="14.42578125" style="1" customWidth="1"/>
    <col min="1567" max="1567" width="16.5703125" style="1" customWidth="1"/>
    <col min="1568" max="1568" width="15.140625" style="1" customWidth="1"/>
    <col min="1569" max="1580" width="0" style="1" hidden="1" customWidth="1"/>
    <col min="1581" max="1581" width="9.140625" style="1" customWidth="1"/>
    <col min="1582" max="1583" width="0" style="1" hidden="1" customWidth="1"/>
    <col min="1584" max="1584" width="9.140625" style="1" customWidth="1"/>
    <col min="1585" max="1586" width="0" style="1" hidden="1" customWidth="1"/>
    <col min="1587" max="1805" width="9.140625" style="1" customWidth="1"/>
    <col min="1806" max="1806" width="56.140625" style="1" customWidth="1"/>
    <col min="1807" max="1812" width="7.7109375" style="1"/>
    <col min="1813" max="1813" width="20.42578125" style="1" customWidth="1"/>
    <col min="1814" max="1814" width="37.42578125" style="1" customWidth="1"/>
    <col min="1815" max="1815" width="0" style="1" hidden="1" customWidth="1"/>
    <col min="1816" max="1816" width="27" style="1" customWidth="1"/>
    <col min="1817" max="1817" width="16.42578125" style="1" customWidth="1"/>
    <col min="1818" max="1818" width="0" style="1" hidden="1" customWidth="1"/>
    <col min="1819" max="1819" width="15.140625" style="1" customWidth="1"/>
    <col min="1820" max="1820" width="16.42578125" style="1" customWidth="1"/>
    <col min="1821" max="1821" width="16.5703125" style="1" customWidth="1"/>
    <col min="1822" max="1822" width="14.42578125" style="1" customWidth="1"/>
    <col min="1823" max="1823" width="16.5703125" style="1" customWidth="1"/>
    <col min="1824" max="1824" width="15.140625" style="1" customWidth="1"/>
    <col min="1825" max="1836" width="0" style="1" hidden="1" customWidth="1"/>
    <col min="1837" max="1837" width="9.140625" style="1" customWidth="1"/>
    <col min="1838" max="1839" width="0" style="1" hidden="1" customWidth="1"/>
    <col min="1840" max="1840" width="9.140625" style="1" customWidth="1"/>
    <col min="1841" max="1842" width="0" style="1" hidden="1" customWidth="1"/>
    <col min="1843" max="2061" width="9.140625" style="1" customWidth="1"/>
    <col min="2062" max="2062" width="56.140625" style="1" customWidth="1"/>
    <col min="2063" max="2068" width="7.7109375" style="1"/>
    <col min="2069" max="2069" width="20.42578125" style="1" customWidth="1"/>
    <col min="2070" max="2070" width="37.42578125" style="1" customWidth="1"/>
    <col min="2071" max="2071" width="0" style="1" hidden="1" customWidth="1"/>
    <col min="2072" max="2072" width="27" style="1" customWidth="1"/>
    <col min="2073" max="2073" width="16.42578125" style="1" customWidth="1"/>
    <col min="2074" max="2074" width="0" style="1" hidden="1" customWidth="1"/>
    <col min="2075" max="2075" width="15.140625" style="1" customWidth="1"/>
    <col min="2076" max="2076" width="16.42578125" style="1" customWidth="1"/>
    <col min="2077" max="2077" width="16.5703125" style="1" customWidth="1"/>
    <col min="2078" max="2078" width="14.42578125" style="1" customWidth="1"/>
    <col min="2079" max="2079" width="16.5703125" style="1" customWidth="1"/>
    <col min="2080" max="2080" width="15.140625" style="1" customWidth="1"/>
    <col min="2081" max="2092" width="0" style="1" hidden="1" customWidth="1"/>
    <col min="2093" max="2093" width="9.140625" style="1" customWidth="1"/>
    <col min="2094" max="2095" width="0" style="1" hidden="1" customWidth="1"/>
    <col min="2096" max="2096" width="9.140625" style="1" customWidth="1"/>
    <col min="2097" max="2098" width="0" style="1" hidden="1" customWidth="1"/>
    <col min="2099" max="2317" width="9.140625" style="1" customWidth="1"/>
    <col min="2318" max="2318" width="56.140625" style="1" customWidth="1"/>
    <col min="2319" max="2324" width="7.7109375" style="1"/>
    <col min="2325" max="2325" width="20.42578125" style="1" customWidth="1"/>
    <col min="2326" max="2326" width="37.42578125" style="1" customWidth="1"/>
    <col min="2327" max="2327" width="0" style="1" hidden="1" customWidth="1"/>
    <col min="2328" max="2328" width="27" style="1" customWidth="1"/>
    <col min="2329" max="2329" width="16.42578125" style="1" customWidth="1"/>
    <col min="2330" max="2330" width="0" style="1" hidden="1" customWidth="1"/>
    <col min="2331" max="2331" width="15.140625" style="1" customWidth="1"/>
    <col min="2332" max="2332" width="16.42578125" style="1" customWidth="1"/>
    <col min="2333" max="2333" width="16.5703125" style="1" customWidth="1"/>
    <col min="2334" max="2334" width="14.42578125" style="1" customWidth="1"/>
    <col min="2335" max="2335" width="16.5703125" style="1" customWidth="1"/>
    <col min="2336" max="2336" width="15.140625" style="1" customWidth="1"/>
    <col min="2337" max="2348" width="0" style="1" hidden="1" customWidth="1"/>
    <col min="2349" max="2349" width="9.140625" style="1" customWidth="1"/>
    <col min="2350" max="2351" width="0" style="1" hidden="1" customWidth="1"/>
    <col min="2352" max="2352" width="9.140625" style="1" customWidth="1"/>
    <col min="2353" max="2354" width="0" style="1" hidden="1" customWidth="1"/>
    <col min="2355" max="2573" width="9.140625" style="1" customWidth="1"/>
    <col min="2574" max="2574" width="56.140625" style="1" customWidth="1"/>
    <col min="2575" max="2580" width="7.7109375" style="1"/>
    <col min="2581" max="2581" width="20.42578125" style="1" customWidth="1"/>
    <col min="2582" max="2582" width="37.42578125" style="1" customWidth="1"/>
    <col min="2583" max="2583" width="0" style="1" hidden="1" customWidth="1"/>
    <col min="2584" max="2584" width="27" style="1" customWidth="1"/>
    <col min="2585" max="2585" width="16.42578125" style="1" customWidth="1"/>
    <col min="2586" max="2586" width="0" style="1" hidden="1" customWidth="1"/>
    <col min="2587" max="2587" width="15.140625" style="1" customWidth="1"/>
    <col min="2588" max="2588" width="16.42578125" style="1" customWidth="1"/>
    <col min="2589" max="2589" width="16.5703125" style="1" customWidth="1"/>
    <col min="2590" max="2590" width="14.42578125" style="1" customWidth="1"/>
    <col min="2591" max="2591" width="16.5703125" style="1" customWidth="1"/>
    <col min="2592" max="2592" width="15.140625" style="1" customWidth="1"/>
    <col min="2593" max="2604" width="0" style="1" hidden="1" customWidth="1"/>
    <col min="2605" max="2605" width="9.140625" style="1" customWidth="1"/>
    <col min="2606" max="2607" width="0" style="1" hidden="1" customWidth="1"/>
    <col min="2608" max="2608" width="9.140625" style="1" customWidth="1"/>
    <col min="2609" max="2610" width="0" style="1" hidden="1" customWidth="1"/>
    <col min="2611" max="2829" width="9.140625" style="1" customWidth="1"/>
    <col min="2830" max="2830" width="56.140625" style="1" customWidth="1"/>
    <col min="2831" max="2836" width="7.7109375" style="1"/>
    <col min="2837" max="2837" width="20.42578125" style="1" customWidth="1"/>
    <col min="2838" max="2838" width="37.42578125" style="1" customWidth="1"/>
    <col min="2839" max="2839" width="0" style="1" hidden="1" customWidth="1"/>
    <col min="2840" max="2840" width="27" style="1" customWidth="1"/>
    <col min="2841" max="2841" width="16.42578125" style="1" customWidth="1"/>
    <col min="2842" max="2842" width="0" style="1" hidden="1" customWidth="1"/>
    <col min="2843" max="2843" width="15.140625" style="1" customWidth="1"/>
    <col min="2844" max="2844" width="16.42578125" style="1" customWidth="1"/>
    <col min="2845" max="2845" width="16.5703125" style="1" customWidth="1"/>
    <col min="2846" max="2846" width="14.42578125" style="1" customWidth="1"/>
    <col min="2847" max="2847" width="16.5703125" style="1" customWidth="1"/>
    <col min="2848" max="2848" width="15.140625" style="1" customWidth="1"/>
    <col min="2849" max="2860" width="0" style="1" hidden="1" customWidth="1"/>
    <col min="2861" max="2861" width="9.140625" style="1" customWidth="1"/>
    <col min="2862" max="2863" width="0" style="1" hidden="1" customWidth="1"/>
    <col min="2864" max="2864" width="9.140625" style="1" customWidth="1"/>
    <col min="2865" max="2866" width="0" style="1" hidden="1" customWidth="1"/>
    <col min="2867" max="3085" width="9.140625" style="1" customWidth="1"/>
    <col min="3086" max="3086" width="56.140625" style="1" customWidth="1"/>
    <col min="3087" max="3092" width="7.7109375" style="1"/>
    <col min="3093" max="3093" width="20.42578125" style="1" customWidth="1"/>
    <col min="3094" max="3094" width="37.42578125" style="1" customWidth="1"/>
    <col min="3095" max="3095" width="0" style="1" hidden="1" customWidth="1"/>
    <col min="3096" max="3096" width="27" style="1" customWidth="1"/>
    <col min="3097" max="3097" width="16.42578125" style="1" customWidth="1"/>
    <col min="3098" max="3098" width="0" style="1" hidden="1" customWidth="1"/>
    <col min="3099" max="3099" width="15.140625" style="1" customWidth="1"/>
    <col min="3100" max="3100" width="16.42578125" style="1" customWidth="1"/>
    <col min="3101" max="3101" width="16.5703125" style="1" customWidth="1"/>
    <col min="3102" max="3102" width="14.42578125" style="1" customWidth="1"/>
    <col min="3103" max="3103" width="16.5703125" style="1" customWidth="1"/>
    <col min="3104" max="3104" width="15.140625" style="1" customWidth="1"/>
    <col min="3105" max="3116" width="0" style="1" hidden="1" customWidth="1"/>
    <col min="3117" max="3117" width="9.140625" style="1" customWidth="1"/>
    <col min="3118" max="3119" width="0" style="1" hidden="1" customWidth="1"/>
    <col min="3120" max="3120" width="9.140625" style="1" customWidth="1"/>
    <col min="3121" max="3122" width="0" style="1" hidden="1" customWidth="1"/>
    <col min="3123" max="3341" width="9.140625" style="1" customWidth="1"/>
    <col min="3342" max="3342" width="56.140625" style="1" customWidth="1"/>
    <col min="3343" max="3348" width="7.7109375" style="1"/>
    <col min="3349" max="3349" width="20.42578125" style="1" customWidth="1"/>
    <col min="3350" max="3350" width="37.42578125" style="1" customWidth="1"/>
    <col min="3351" max="3351" width="0" style="1" hidden="1" customWidth="1"/>
    <col min="3352" max="3352" width="27" style="1" customWidth="1"/>
    <col min="3353" max="3353" width="16.42578125" style="1" customWidth="1"/>
    <col min="3354" max="3354" width="0" style="1" hidden="1" customWidth="1"/>
    <col min="3355" max="3355" width="15.140625" style="1" customWidth="1"/>
    <col min="3356" max="3356" width="16.42578125" style="1" customWidth="1"/>
    <col min="3357" max="3357" width="16.5703125" style="1" customWidth="1"/>
    <col min="3358" max="3358" width="14.42578125" style="1" customWidth="1"/>
    <col min="3359" max="3359" width="16.5703125" style="1" customWidth="1"/>
    <col min="3360" max="3360" width="15.140625" style="1" customWidth="1"/>
    <col min="3361" max="3372" width="0" style="1" hidden="1" customWidth="1"/>
    <col min="3373" max="3373" width="9.140625" style="1" customWidth="1"/>
    <col min="3374" max="3375" width="0" style="1" hidden="1" customWidth="1"/>
    <col min="3376" max="3376" width="9.140625" style="1" customWidth="1"/>
    <col min="3377" max="3378" width="0" style="1" hidden="1" customWidth="1"/>
    <col min="3379" max="3597" width="9.140625" style="1" customWidth="1"/>
    <col min="3598" max="3598" width="56.140625" style="1" customWidth="1"/>
    <col min="3599" max="3604" width="7.7109375" style="1"/>
    <col min="3605" max="3605" width="20.42578125" style="1" customWidth="1"/>
    <col min="3606" max="3606" width="37.42578125" style="1" customWidth="1"/>
    <col min="3607" max="3607" width="0" style="1" hidden="1" customWidth="1"/>
    <col min="3608" max="3608" width="27" style="1" customWidth="1"/>
    <col min="3609" max="3609" width="16.42578125" style="1" customWidth="1"/>
    <col min="3610" max="3610" width="0" style="1" hidden="1" customWidth="1"/>
    <col min="3611" max="3611" width="15.140625" style="1" customWidth="1"/>
    <col min="3612" max="3612" width="16.42578125" style="1" customWidth="1"/>
    <col min="3613" max="3613" width="16.5703125" style="1" customWidth="1"/>
    <col min="3614" max="3614" width="14.42578125" style="1" customWidth="1"/>
    <col min="3615" max="3615" width="16.5703125" style="1" customWidth="1"/>
    <col min="3616" max="3616" width="15.140625" style="1" customWidth="1"/>
    <col min="3617" max="3628" width="0" style="1" hidden="1" customWidth="1"/>
    <col min="3629" max="3629" width="9.140625" style="1" customWidth="1"/>
    <col min="3630" max="3631" width="0" style="1" hidden="1" customWidth="1"/>
    <col min="3632" max="3632" width="9.140625" style="1" customWidth="1"/>
    <col min="3633" max="3634" width="0" style="1" hidden="1" customWidth="1"/>
    <col min="3635" max="3853" width="9.140625" style="1" customWidth="1"/>
    <col min="3854" max="3854" width="56.140625" style="1" customWidth="1"/>
    <col min="3855" max="3860" width="7.7109375" style="1"/>
    <col min="3861" max="3861" width="20.42578125" style="1" customWidth="1"/>
    <col min="3862" max="3862" width="37.42578125" style="1" customWidth="1"/>
    <col min="3863" max="3863" width="0" style="1" hidden="1" customWidth="1"/>
    <col min="3864" max="3864" width="27" style="1" customWidth="1"/>
    <col min="3865" max="3865" width="16.42578125" style="1" customWidth="1"/>
    <col min="3866" max="3866" width="0" style="1" hidden="1" customWidth="1"/>
    <col min="3867" max="3867" width="15.140625" style="1" customWidth="1"/>
    <col min="3868" max="3868" width="16.42578125" style="1" customWidth="1"/>
    <col min="3869" max="3869" width="16.5703125" style="1" customWidth="1"/>
    <col min="3870" max="3870" width="14.42578125" style="1" customWidth="1"/>
    <col min="3871" max="3871" width="16.5703125" style="1" customWidth="1"/>
    <col min="3872" max="3872" width="15.140625" style="1" customWidth="1"/>
    <col min="3873" max="3884" width="0" style="1" hidden="1" customWidth="1"/>
    <col min="3885" max="3885" width="9.140625" style="1" customWidth="1"/>
    <col min="3886" max="3887" width="0" style="1" hidden="1" customWidth="1"/>
    <col min="3888" max="3888" width="9.140625" style="1" customWidth="1"/>
    <col min="3889" max="3890" width="0" style="1" hidden="1" customWidth="1"/>
    <col min="3891" max="4109" width="9.140625" style="1" customWidth="1"/>
    <col min="4110" max="4110" width="56.140625" style="1" customWidth="1"/>
    <col min="4111" max="4116" width="7.7109375" style="1"/>
    <col min="4117" max="4117" width="20.42578125" style="1" customWidth="1"/>
    <col min="4118" max="4118" width="37.42578125" style="1" customWidth="1"/>
    <col min="4119" max="4119" width="0" style="1" hidden="1" customWidth="1"/>
    <col min="4120" max="4120" width="27" style="1" customWidth="1"/>
    <col min="4121" max="4121" width="16.42578125" style="1" customWidth="1"/>
    <col min="4122" max="4122" width="0" style="1" hidden="1" customWidth="1"/>
    <col min="4123" max="4123" width="15.140625" style="1" customWidth="1"/>
    <col min="4124" max="4124" width="16.42578125" style="1" customWidth="1"/>
    <col min="4125" max="4125" width="16.5703125" style="1" customWidth="1"/>
    <col min="4126" max="4126" width="14.42578125" style="1" customWidth="1"/>
    <col min="4127" max="4127" width="16.5703125" style="1" customWidth="1"/>
    <col min="4128" max="4128" width="15.140625" style="1" customWidth="1"/>
    <col min="4129" max="4140" width="0" style="1" hidden="1" customWidth="1"/>
    <col min="4141" max="4141" width="9.140625" style="1" customWidth="1"/>
    <col min="4142" max="4143" width="0" style="1" hidden="1" customWidth="1"/>
    <col min="4144" max="4144" width="9.140625" style="1" customWidth="1"/>
    <col min="4145" max="4146" width="0" style="1" hidden="1" customWidth="1"/>
    <col min="4147" max="4365" width="9.140625" style="1" customWidth="1"/>
    <col min="4366" max="4366" width="56.140625" style="1" customWidth="1"/>
    <col min="4367" max="4372" width="7.7109375" style="1"/>
    <col min="4373" max="4373" width="20.42578125" style="1" customWidth="1"/>
    <col min="4374" max="4374" width="37.42578125" style="1" customWidth="1"/>
    <col min="4375" max="4375" width="0" style="1" hidden="1" customWidth="1"/>
    <col min="4376" max="4376" width="27" style="1" customWidth="1"/>
    <col min="4377" max="4377" width="16.42578125" style="1" customWidth="1"/>
    <col min="4378" max="4378" width="0" style="1" hidden="1" customWidth="1"/>
    <col min="4379" max="4379" width="15.140625" style="1" customWidth="1"/>
    <col min="4380" max="4380" width="16.42578125" style="1" customWidth="1"/>
    <col min="4381" max="4381" width="16.5703125" style="1" customWidth="1"/>
    <col min="4382" max="4382" width="14.42578125" style="1" customWidth="1"/>
    <col min="4383" max="4383" width="16.5703125" style="1" customWidth="1"/>
    <col min="4384" max="4384" width="15.140625" style="1" customWidth="1"/>
    <col min="4385" max="4396" width="0" style="1" hidden="1" customWidth="1"/>
    <col min="4397" max="4397" width="9.140625" style="1" customWidth="1"/>
    <col min="4398" max="4399" width="0" style="1" hidden="1" customWidth="1"/>
    <col min="4400" max="4400" width="9.140625" style="1" customWidth="1"/>
    <col min="4401" max="4402" width="0" style="1" hidden="1" customWidth="1"/>
    <col min="4403" max="4621" width="9.140625" style="1" customWidth="1"/>
    <col min="4622" max="4622" width="56.140625" style="1" customWidth="1"/>
    <col min="4623" max="4628" width="7.7109375" style="1"/>
    <col min="4629" max="4629" width="20.42578125" style="1" customWidth="1"/>
    <col min="4630" max="4630" width="37.42578125" style="1" customWidth="1"/>
    <col min="4631" max="4631" width="0" style="1" hidden="1" customWidth="1"/>
    <col min="4632" max="4632" width="27" style="1" customWidth="1"/>
    <col min="4633" max="4633" width="16.42578125" style="1" customWidth="1"/>
    <col min="4634" max="4634" width="0" style="1" hidden="1" customWidth="1"/>
    <col min="4635" max="4635" width="15.140625" style="1" customWidth="1"/>
    <col min="4636" max="4636" width="16.42578125" style="1" customWidth="1"/>
    <col min="4637" max="4637" width="16.5703125" style="1" customWidth="1"/>
    <col min="4638" max="4638" width="14.42578125" style="1" customWidth="1"/>
    <col min="4639" max="4639" width="16.5703125" style="1" customWidth="1"/>
    <col min="4640" max="4640" width="15.140625" style="1" customWidth="1"/>
    <col min="4641" max="4652" width="0" style="1" hidden="1" customWidth="1"/>
    <col min="4653" max="4653" width="9.140625" style="1" customWidth="1"/>
    <col min="4654" max="4655" width="0" style="1" hidden="1" customWidth="1"/>
    <col min="4656" max="4656" width="9.140625" style="1" customWidth="1"/>
    <col min="4657" max="4658" width="0" style="1" hidden="1" customWidth="1"/>
    <col min="4659" max="4877" width="9.140625" style="1" customWidth="1"/>
    <col min="4878" max="4878" width="56.140625" style="1" customWidth="1"/>
    <col min="4879" max="4884" width="7.7109375" style="1"/>
    <col min="4885" max="4885" width="20.42578125" style="1" customWidth="1"/>
    <col min="4886" max="4886" width="37.42578125" style="1" customWidth="1"/>
    <col min="4887" max="4887" width="0" style="1" hidden="1" customWidth="1"/>
    <col min="4888" max="4888" width="27" style="1" customWidth="1"/>
    <col min="4889" max="4889" width="16.42578125" style="1" customWidth="1"/>
    <col min="4890" max="4890" width="0" style="1" hidden="1" customWidth="1"/>
    <col min="4891" max="4891" width="15.140625" style="1" customWidth="1"/>
    <col min="4892" max="4892" width="16.42578125" style="1" customWidth="1"/>
    <col min="4893" max="4893" width="16.5703125" style="1" customWidth="1"/>
    <col min="4894" max="4894" width="14.42578125" style="1" customWidth="1"/>
    <col min="4895" max="4895" width="16.5703125" style="1" customWidth="1"/>
    <col min="4896" max="4896" width="15.140625" style="1" customWidth="1"/>
    <col min="4897" max="4908" width="0" style="1" hidden="1" customWidth="1"/>
    <col min="4909" max="4909" width="9.140625" style="1" customWidth="1"/>
    <col min="4910" max="4911" width="0" style="1" hidden="1" customWidth="1"/>
    <col min="4912" max="4912" width="9.140625" style="1" customWidth="1"/>
    <col min="4913" max="4914" width="0" style="1" hidden="1" customWidth="1"/>
    <col min="4915" max="5133" width="9.140625" style="1" customWidth="1"/>
    <col min="5134" max="5134" width="56.140625" style="1" customWidth="1"/>
    <col min="5135" max="5140" width="7.7109375" style="1"/>
    <col min="5141" max="5141" width="20.42578125" style="1" customWidth="1"/>
    <col min="5142" max="5142" width="37.42578125" style="1" customWidth="1"/>
    <col min="5143" max="5143" width="0" style="1" hidden="1" customWidth="1"/>
    <col min="5144" max="5144" width="27" style="1" customWidth="1"/>
    <col min="5145" max="5145" width="16.42578125" style="1" customWidth="1"/>
    <col min="5146" max="5146" width="0" style="1" hidden="1" customWidth="1"/>
    <col min="5147" max="5147" width="15.140625" style="1" customWidth="1"/>
    <col min="5148" max="5148" width="16.42578125" style="1" customWidth="1"/>
    <col min="5149" max="5149" width="16.5703125" style="1" customWidth="1"/>
    <col min="5150" max="5150" width="14.42578125" style="1" customWidth="1"/>
    <col min="5151" max="5151" width="16.5703125" style="1" customWidth="1"/>
    <col min="5152" max="5152" width="15.140625" style="1" customWidth="1"/>
    <col min="5153" max="5164" width="0" style="1" hidden="1" customWidth="1"/>
    <col min="5165" max="5165" width="9.140625" style="1" customWidth="1"/>
    <col min="5166" max="5167" width="0" style="1" hidden="1" customWidth="1"/>
    <col min="5168" max="5168" width="9.140625" style="1" customWidth="1"/>
    <col min="5169" max="5170" width="0" style="1" hidden="1" customWidth="1"/>
    <col min="5171" max="5389" width="9.140625" style="1" customWidth="1"/>
    <col min="5390" max="5390" width="56.140625" style="1" customWidth="1"/>
    <col min="5391" max="5396" width="7.7109375" style="1"/>
    <col min="5397" max="5397" width="20.42578125" style="1" customWidth="1"/>
    <col min="5398" max="5398" width="37.42578125" style="1" customWidth="1"/>
    <col min="5399" max="5399" width="0" style="1" hidden="1" customWidth="1"/>
    <col min="5400" max="5400" width="27" style="1" customWidth="1"/>
    <col min="5401" max="5401" width="16.42578125" style="1" customWidth="1"/>
    <col min="5402" max="5402" width="0" style="1" hidden="1" customWidth="1"/>
    <col min="5403" max="5403" width="15.140625" style="1" customWidth="1"/>
    <col min="5404" max="5404" width="16.42578125" style="1" customWidth="1"/>
    <col min="5405" max="5405" width="16.5703125" style="1" customWidth="1"/>
    <col min="5406" max="5406" width="14.42578125" style="1" customWidth="1"/>
    <col min="5407" max="5407" width="16.5703125" style="1" customWidth="1"/>
    <col min="5408" max="5408" width="15.140625" style="1" customWidth="1"/>
    <col min="5409" max="5420" width="0" style="1" hidden="1" customWidth="1"/>
    <col min="5421" max="5421" width="9.140625" style="1" customWidth="1"/>
    <col min="5422" max="5423" width="0" style="1" hidden="1" customWidth="1"/>
    <col min="5424" max="5424" width="9.140625" style="1" customWidth="1"/>
    <col min="5425" max="5426" width="0" style="1" hidden="1" customWidth="1"/>
    <col min="5427" max="5645" width="9.140625" style="1" customWidth="1"/>
    <col min="5646" max="5646" width="56.140625" style="1" customWidth="1"/>
    <col min="5647" max="5652" width="7.7109375" style="1"/>
    <col min="5653" max="5653" width="20.42578125" style="1" customWidth="1"/>
    <col min="5654" max="5654" width="37.42578125" style="1" customWidth="1"/>
    <col min="5655" max="5655" width="0" style="1" hidden="1" customWidth="1"/>
    <col min="5656" max="5656" width="27" style="1" customWidth="1"/>
    <col min="5657" max="5657" width="16.42578125" style="1" customWidth="1"/>
    <col min="5658" max="5658" width="0" style="1" hidden="1" customWidth="1"/>
    <col min="5659" max="5659" width="15.140625" style="1" customWidth="1"/>
    <col min="5660" max="5660" width="16.42578125" style="1" customWidth="1"/>
    <col min="5661" max="5661" width="16.5703125" style="1" customWidth="1"/>
    <col min="5662" max="5662" width="14.42578125" style="1" customWidth="1"/>
    <col min="5663" max="5663" width="16.5703125" style="1" customWidth="1"/>
    <col min="5664" max="5664" width="15.140625" style="1" customWidth="1"/>
    <col min="5665" max="5676" width="0" style="1" hidden="1" customWidth="1"/>
    <col min="5677" max="5677" width="9.140625" style="1" customWidth="1"/>
    <col min="5678" max="5679" width="0" style="1" hidden="1" customWidth="1"/>
    <col min="5680" max="5680" width="9.140625" style="1" customWidth="1"/>
    <col min="5681" max="5682" width="0" style="1" hidden="1" customWidth="1"/>
    <col min="5683" max="5901" width="9.140625" style="1" customWidth="1"/>
    <col min="5902" max="5902" width="56.140625" style="1" customWidth="1"/>
    <col min="5903" max="5908" width="7.7109375" style="1"/>
    <col min="5909" max="5909" width="20.42578125" style="1" customWidth="1"/>
    <col min="5910" max="5910" width="37.42578125" style="1" customWidth="1"/>
    <col min="5911" max="5911" width="0" style="1" hidden="1" customWidth="1"/>
    <col min="5912" max="5912" width="27" style="1" customWidth="1"/>
    <col min="5913" max="5913" width="16.42578125" style="1" customWidth="1"/>
    <col min="5914" max="5914" width="0" style="1" hidden="1" customWidth="1"/>
    <col min="5915" max="5915" width="15.140625" style="1" customWidth="1"/>
    <col min="5916" max="5916" width="16.42578125" style="1" customWidth="1"/>
    <col min="5917" max="5917" width="16.5703125" style="1" customWidth="1"/>
    <col min="5918" max="5918" width="14.42578125" style="1" customWidth="1"/>
    <col min="5919" max="5919" width="16.5703125" style="1" customWidth="1"/>
    <col min="5920" max="5920" width="15.140625" style="1" customWidth="1"/>
    <col min="5921" max="5932" width="0" style="1" hidden="1" customWidth="1"/>
    <col min="5933" max="5933" width="9.140625" style="1" customWidth="1"/>
    <col min="5934" max="5935" width="0" style="1" hidden="1" customWidth="1"/>
    <col min="5936" max="5936" width="9.140625" style="1" customWidth="1"/>
    <col min="5937" max="5938" width="0" style="1" hidden="1" customWidth="1"/>
    <col min="5939" max="6157" width="9.140625" style="1" customWidth="1"/>
    <col min="6158" max="6158" width="56.140625" style="1" customWidth="1"/>
    <col min="6159" max="6164" width="7.7109375" style="1"/>
    <col min="6165" max="6165" width="20.42578125" style="1" customWidth="1"/>
    <col min="6166" max="6166" width="37.42578125" style="1" customWidth="1"/>
    <col min="6167" max="6167" width="0" style="1" hidden="1" customWidth="1"/>
    <col min="6168" max="6168" width="27" style="1" customWidth="1"/>
    <col min="6169" max="6169" width="16.42578125" style="1" customWidth="1"/>
    <col min="6170" max="6170" width="0" style="1" hidden="1" customWidth="1"/>
    <col min="6171" max="6171" width="15.140625" style="1" customWidth="1"/>
    <col min="6172" max="6172" width="16.42578125" style="1" customWidth="1"/>
    <col min="6173" max="6173" width="16.5703125" style="1" customWidth="1"/>
    <col min="6174" max="6174" width="14.42578125" style="1" customWidth="1"/>
    <col min="6175" max="6175" width="16.5703125" style="1" customWidth="1"/>
    <col min="6176" max="6176" width="15.140625" style="1" customWidth="1"/>
    <col min="6177" max="6188" width="0" style="1" hidden="1" customWidth="1"/>
    <col min="6189" max="6189" width="9.140625" style="1" customWidth="1"/>
    <col min="6190" max="6191" width="0" style="1" hidden="1" customWidth="1"/>
    <col min="6192" max="6192" width="9.140625" style="1" customWidth="1"/>
    <col min="6193" max="6194" width="0" style="1" hidden="1" customWidth="1"/>
    <col min="6195" max="6413" width="9.140625" style="1" customWidth="1"/>
    <col min="6414" max="6414" width="56.140625" style="1" customWidth="1"/>
    <col min="6415" max="6420" width="7.7109375" style="1"/>
    <col min="6421" max="6421" width="20.42578125" style="1" customWidth="1"/>
    <col min="6422" max="6422" width="37.42578125" style="1" customWidth="1"/>
    <col min="6423" max="6423" width="0" style="1" hidden="1" customWidth="1"/>
    <col min="6424" max="6424" width="27" style="1" customWidth="1"/>
    <col min="6425" max="6425" width="16.42578125" style="1" customWidth="1"/>
    <col min="6426" max="6426" width="0" style="1" hidden="1" customWidth="1"/>
    <col min="6427" max="6427" width="15.140625" style="1" customWidth="1"/>
    <col min="6428" max="6428" width="16.42578125" style="1" customWidth="1"/>
    <col min="6429" max="6429" width="16.5703125" style="1" customWidth="1"/>
    <col min="6430" max="6430" width="14.42578125" style="1" customWidth="1"/>
    <col min="6431" max="6431" width="16.5703125" style="1" customWidth="1"/>
    <col min="6432" max="6432" width="15.140625" style="1" customWidth="1"/>
    <col min="6433" max="6444" width="0" style="1" hidden="1" customWidth="1"/>
    <col min="6445" max="6445" width="9.140625" style="1" customWidth="1"/>
    <col min="6446" max="6447" width="0" style="1" hidden="1" customWidth="1"/>
    <col min="6448" max="6448" width="9.140625" style="1" customWidth="1"/>
    <col min="6449" max="6450" width="0" style="1" hidden="1" customWidth="1"/>
    <col min="6451" max="6669" width="9.140625" style="1" customWidth="1"/>
    <col min="6670" max="6670" width="56.140625" style="1" customWidth="1"/>
    <col min="6671" max="6676" width="7.7109375" style="1"/>
    <col min="6677" max="6677" width="20.42578125" style="1" customWidth="1"/>
    <col min="6678" max="6678" width="37.42578125" style="1" customWidth="1"/>
    <col min="6679" max="6679" width="0" style="1" hidden="1" customWidth="1"/>
    <col min="6680" max="6680" width="27" style="1" customWidth="1"/>
    <col min="6681" max="6681" width="16.42578125" style="1" customWidth="1"/>
    <col min="6682" max="6682" width="0" style="1" hidden="1" customWidth="1"/>
    <col min="6683" max="6683" width="15.140625" style="1" customWidth="1"/>
    <col min="6684" max="6684" width="16.42578125" style="1" customWidth="1"/>
    <col min="6685" max="6685" width="16.5703125" style="1" customWidth="1"/>
    <col min="6686" max="6686" width="14.42578125" style="1" customWidth="1"/>
    <col min="6687" max="6687" width="16.5703125" style="1" customWidth="1"/>
    <col min="6688" max="6688" width="15.140625" style="1" customWidth="1"/>
    <col min="6689" max="6700" width="0" style="1" hidden="1" customWidth="1"/>
    <col min="6701" max="6701" width="9.140625" style="1" customWidth="1"/>
    <col min="6702" max="6703" width="0" style="1" hidden="1" customWidth="1"/>
    <col min="6704" max="6704" width="9.140625" style="1" customWidth="1"/>
    <col min="6705" max="6706" width="0" style="1" hidden="1" customWidth="1"/>
    <col min="6707" max="6925" width="9.140625" style="1" customWidth="1"/>
    <col min="6926" max="6926" width="56.140625" style="1" customWidth="1"/>
    <col min="6927" max="6932" width="7.7109375" style="1"/>
    <col min="6933" max="6933" width="20.42578125" style="1" customWidth="1"/>
    <col min="6934" max="6934" width="37.42578125" style="1" customWidth="1"/>
    <col min="6935" max="6935" width="0" style="1" hidden="1" customWidth="1"/>
    <col min="6936" max="6936" width="27" style="1" customWidth="1"/>
    <col min="6937" max="6937" width="16.42578125" style="1" customWidth="1"/>
    <col min="6938" max="6938" width="0" style="1" hidden="1" customWidth="1"/>
    <col min="6939" max="6939" width="15.140625" style="1" customWidth="1"/>
    <col min="6940" max="6940" width="16.42578125" style="1" customWidth="1"/>
    <col min="6941" max="6941" width="16.5703125" style="1" customWidth="1"/>
    <col min="6942" max="6942" width="14.42578125" style="1" customWidth="1"/>
    <col min="6943" max="6943" width="16.5703125" style="1" customWidth="1"/>
    <col min="6944" max="6944" width="15.140625" style="1" customWidth="1"/>
    <col min="6945" max="6956" width="0" style="1" hidden="1" customWidth="1"/>
    <col min="6957" max="6957" width="9.140625" style="1" customWidth="1"/>
    <col min="6958" max="6959" width="0" style="1" hidden="1" customWidth="1"/>
    <col min="6960" max="6960" width="9.140625" style="1" customWidth="1"/>
    <col min="6961" max="6962" width="0" style="1" hidden="1" customWidth="1"/>
    <col min="6963" max="7181" width="9.140625" style="1" customWidth="1"/>
    <col min="7182" max="7182" width="56.140625" style="1" customWidth="1"/>
    <col min="7183" max="7188" width="7.7109375" style="1"/>
    <col min="7189" max="7189" width="20.42578125" style="1" customWidth="1"/>
    <col min="7190" max="7190" width="37.42578125" style="1" customWidth="1"/>
    <col min="7191" max="7191" width="0" style="1" hidden="1" customWidth="1"/>
    <col min="7192" max="7192" width="27" style="1" customWidth="1"/>
    <col min="7193" max="7193" width="16.42578125" style="1" customWidth="1"/>
    <col min="7194" max="7194" width="0" style="1" hidden="1" customWidth="1"/>
    <col min="7195" max="7195" width="15.140625" style="1" customWidth="1"/>
    <col min="7196" max="7196" width="16.42578125" style="1" customWidth="1"/>
    <col min="7197" max="7197" width="16.5703125" style="1" customWidth="1"/>
    <col min="7198" max="7198" width="14.42578125" style="1" customWidth="1"/>
    <col min="7199" max="7199" width="16.5703125" style="1" customWidth="1"/>
    <col min="7200" max="7200" width="15.140625" style="1" customWidth="1"/>
    <col min="7201" max="7212" width="0" style="1" hidden="1" customWidth="1"/>
    <col min="7213" max="7213" width="9.140625" style="1" customWidth="1"/>
    <col min="7214" max="7215" width="0" style="1" hidden="1" customWidth="1"/>
    <col min="7216" max="7216" width="9.140625" style="1" customWidth="1"/>
    <col min="7217" max="7218" width="0" style="1" hidden="1" customWidth="1"/>
    <col min="7219" max="7437" width="9.140625" style="1" customWidth="1"/>
    <col min="7438" max="7438" width="56.140625" style="1" customWidth="1"/>
    <col min="7439" max="7444" width="7.7109375" style="1"/>
    <col min="7445" max="7445" width="20.42578125" style="1" customWidth="1"/>
    <col min="7446" max="7446" width="37.42578125" style="1" customWidth="1"/>
    <col min="7447" max="7447" width="0" style="1" hidden="1" customWidth="1"/>
    <col min="7448" max="7448" width="27" style="1" customWidth="1"/>
    <col min="7449" max="7449" width="16.42578125" style="1" customWidth="1"/>
    <col min="7450" max="7450" width="0" style="1" hidden="1" customWidth="1"/>
    <col min="7451" max="7451" width="15.140625" style="1" customWidth="1"/>
    <col min="7452" max="7452" width="16.42578125" style="1" customWidth="1"/>
    <col min="7453" max="7453" width="16.5703125" style="1" customWidth="1"/>
    <col min="7454" max="7454" width="14.42578125" style="1" customWidth="1"/>
    <col min="7455" max="7455" width="16.5703125" style="1" customWidth="1"/>
    <col min="7456" max="7456" width="15.140625" style="1" customWidth="1"/>
    <col min="7457" max="7468" width="0" style="1" hidden="1" customWidth="1"/>
    <col min="7469" max="7469" width="9.140625" style="1" customWidth="1"/>
    <col min="7470" max="7471" width="0" style="1" hidden="1" customWidth="1"/>
    <col min="7472" max="7472" width="9.140625" style="1" customWidth="1"/>
    <col min="7473" max="7474" width="0" style="1" hidden="1" customWidth="1"/>
    <col min="7475" max="7693" width="9.140625" style="1" customWidth="1"/>
    <col min="7694" max="7694" width="56.140625" style="1" customWidth="1"/>
    <col min="7695" max="7700" width="7.7109375" style="1"/>
    <col min="7701" max="7701" width="20.42578125" style="1" customWidth="1"/>
    <col min="7702" max="7702" width="37.42578125" style="1" customWidth="1"/>
    <col min="7703" max="7703" width="0" style="1" hidden="1" customWidth="1"/>
    <col min="7704" max="7704" width="27" style="1" customWidth="1"/>
    <col min="7705" max="7705" width="16.42578125" style="1" customWidth="1"/>
    <col min="7706" max="7706" width="0" style="1" hidden="1" customWidth="1"/>
    <col min="7707" max="7707" width="15.140625" style="1" customWidth="1"/>
    <col min="7708" max="7708" width="16.42578125" style="1" customWidth="1"/>
    <col min="7709" max="7709" width="16.5703125" style="1" customWidth="1"/>
    <col min="7710" max="7710" width="14.42578125" style="1" customWidth="1"/>
    <col min="7711" max="7711" width="16.5703125" style="1" customWidth="1"/>
    <col min="7712" max="7712" width="15.140625" style="1" customWidth="1"/>
    <col min="7713" max="7724" width="0" style="1" hidden="1" customWidth="1"/>
    <col min="7725" max="7725" width="9.140625" style="1" customWidth="1"/>
    <col min="7726" max="7727" width="0" style="1" hidden="1" customWidth="1"/>
    <col min="7728" max="7728" width="9.140625" style="1" customWidth="1"/>
    <col min="7729" max="7730" width="0" style="1" hidden="1" customWidth="1"/>
    <col min="7731" max="7949" width="9.140625" style="1" customWidth="1"/>
    <col min="7950" max="7950" width="56.140625" style="1" customWidth="1"/>
    <col min="7951" max="7956" width="7.7109375" style="1"/>
    <col min="7957" max="7957" width="20.42578125" style="1" customWidth="1"/>
    <col min="7958" max="7958" width="37.42578125" style="1" customWidth="1"/>
    <col min="7959" max="7959" width="0" style="1" hidden="1" customWidth="1"/>
    <col min="7960" max="7960" width="27" style="1" customWidth="1"/>
    <col min="7961" max="7961" width="16.42578125" style="1" customWidth="1"/>
    <col min="7962" max="7962" width="0" style="1" hidden="1" customWidth="1"/>
    <col min="7963" max="7963" width="15.140625" style="1" customWidth="1"/>
    <col min="7964" max="7964" width="16.42578125" style="1" customWidth="1"/>
    <col min="7965" max="7965" width="16.5703125" style="1" customWidth="1"/>
    <col min="7966" max="7966" width="14.42578125" style="1" customWidth="1"/>
    <col min="7967" max="7967" width="16.5703125" style="1" customWidth="1"/>
    <col min="7968" max="7968" width="15.140625" style="1" customWidth="1"/>
    <col min="7969" max="7980" width="0" style="1" hidden="1" customWidth="1"/>
    <col min="7981" max="7981" width="9.140625" style="1" customWidth="1"/>
    <col min="7982" max="7983" width="0" style="1" hidden="1" customWidth="1"/>
    <col min="7984" max="7984" width="9.140625" style="1" customWidth="1"/>
    <col min="7985" max="7986" width="0" style="1" hidden="1" customWidth="1"/>
    <col min="7987" max="8205" width="9.140625" style="1" customWidth="1"/>
    <col min="8206" max="8206" width="56.140625" style="1" customWidth="1"/>
    <col min="8207" max="8212" width="7.7109375" style="1"/>
    <col min="8213" max="8213" width="20.42578125" style="1" customWidth="1"/>
    <col min="8214" max="8214" width="37.42578125" style="1" customWidth="1"/>
    <col min="8215" max="8215" width="0" style="1" hidden="1" customWidth="1"/>
    <col min="8216" max="8216" width="27" style="1" customWidth="1"/>
    <col min="8217" max="8217" width="16.42578125" style="1" customWidth="1"/>
    <col min="8218" max="8218" width="0" style="1" hidden="1" customWidth="1"/>
    <col min="8219" max="8219" width="15.140625" style="1" customWidth="1"/>
    <col min="8220" max="8220" width="16.42578125" style="1" customWidth="1"/>
    <col min="8221" max="8221" width="16.5703125" style="1" customWidth="1"/>
    <col min="8222" max="8222" width="14.42578125" style="1" customWidth="1"/>
    <col min="8223" max="8223" width="16.5703125" style="1" customWidth="1"/>
    <col min="8224" max="8224" width="15.140625" style="1" customWidth="1"/>
    <col min="8225" max="8236" width="0" style="1" hidden="1" customWidth="1"/>
    <col min="8237" max="8237" width="9.140625" style="1" customWidth="1"/>
    <col min="8238" max="8239" width="0" style="1" hidden="1" customWidth="1"/>
    <col min="8240" max="8240" width="9.140625" style="1" customWidth="1"/>
    <col min="8241" max="8242" width="0" style="1" hidden="1" customWidth="1"/>
    <col min="8243" max="8461" width="9.140625" style="1" customWidth="1"/>
    <col min="8462" max="8462" width="56.140625" style="1" customWidth="1"/>
    <col min="8463" max="8468" width="7.7109375" style="1"/>
    <col min="8469" max="8469" width="20.42578125" style="1" customWidth="1"/>
    <col min="8470" max="8470" width="37.42578125" style="1" customWidth="1"/>
    <col min="8471" max="8471" width="0" style="1" hidden="1" customWidth="1"/>
    <col min="8472" max="8472" width="27" style="1" customWidth="1"/>
    <col min="8473" max="8473" width="16.42578125" style="1" customWidth="1"/>
    <col min="8474" max="8474" width="0" style="1" hidden="1" customWidth="1"/>
    <col min="8475" max="8475" width="15.140625" style="1" customWidth="1"/>
    <col min="8476" max="8476" width="16.42578125" style="1" customWidth="1"/>
    <col min="8477" max="8477" width="16.5703125" style="1" customWidth="1"/>
    <col min="8478" max="8478" width="14.42578125" style="1" customWidth="1"/>
    <col min="8479" max="8479" width="16.5703125" style="1" customWidth="1"/>
    <col min="8480" max="8480" width="15.140625" style="1" customWidth="1"/>
    <col min="8481" max="8492" width="0" style="1" hidden="1" customWidth="1"/>
    <col min="8493" max="8493" width="9.140625" style="1" customWidth="1"/>
    <col min="8494" max="8495" width="0" style="1" hidden="1" customWidth="1"/>
    <col min="8496" max="8496" width="9.140625" style="1" customWidth="1"/>
    <col min="8497" max="8498" width="0" style="1" hidden="1" customWidth="1"/>
    <col min="8499" max="8717" width="9.140625" style="1" customWidth="1"/>
    <col min="8718" max="8718" width="56.140625" style="1" customWidth="1"/>
    <col min="8719" max="8724" width="7.7109375" style="1"/>
    <col min="8725" max="8725" width="20.42578125" style="1" customWidth="1"/>
    <col min="8726" max="8726" width="37.42578125" style="1" customWidth="1"/>
    <col min="8727" max="8727" width="0" style="1" hidden="1" customWidth="1"/>
    <col min="8728" max="8728" width="27" style="1" customWidth="1"/>
    <col min="8729" max="8729" width="16.42578125" style="1" customWidth="1"/>
    <col min="8730" max="8730" width="0" style="1" hidden="1" customWidth="1"/>
    <col min="8731" max="8731" width="15.140625" style="1" customWidth="1"/>
    <col min="8732" max="8732" width="16.42578125" style="1" customWidth="1"/>
    <col min="8733" max="8733" width="16.5703125" style="1" customWidth="1"/>
    <col min="8734" max="8734" width="14.42578125" style="1" customWidth="1"/>
    <col min="8735" max="8735" width="16.5703125" style="1" customWidth="1"/>
    <col min="8736" max="8736" width="15.140625" style="1" customWidth="1"/>
    <col min="8737" max="8748" width="0" style="1" hidden="1" customWidth="1"/>
    <col min="8749" max="8749" width="9.140625" style="1" customWidth="1"/>
    <col min="8750" max="8751" width="0" style="1" hidden="1" customWidth="1"/>
    <col min="8752" max="8752" width="9.140625" style="1" customWidth="1"/>
    <col min="8753" max="8754" width="0" style="1" hidden="1" customWidth="1"/>
    <col min="8755" max="8973" width="9.140625" style="1" customWidth="1"/>
    <col min="8974" max="8974" width="56.140625" style="1" customWidth="1"/>
    <col min="8975" max="8980" width="7.7109375" style="1"/>
    <col min="8981" max="8981" width="20.42578125" style="1" customWidth="1"/>
    <col min="8982" max="8982" width="37.42578125" style="1" customWidth="1"/>
    <col min="8983" max="8983" width="0" style="1" hidden="1" customWidth="1"/>
    <col min="8984" max="8984" width="27" style="1" customWidth="1"/>
    <col min="8985" max="8985" width="16.42578125" style="1" customWidth="1"/>
    <col min="8986" max="8986" width="0" style="1" hidden="1" customWidth="1"/>
    <col min="8987" max="8987" width="15.140625" style="1" customWidth="1"/>
    <col min="8988" max="8988" width="16.42578125" style="1" customWidth="1"/>
    <col min="8989" max="8989" width="16.5703125" style="1" customWidth="1"/>
    <col min="8990" max="8990" width="14.42578125" style="1" customWidth="1"/>
    <col min="8991" max="8991" width="16.5703125" style="1" customWidth="1"/>
    <col min="8992" max="8992" width="15.140625" style="1" customWidth="1"/>
    <col min="8993" max="9004" width="0" style="1" hidden="1" customWidth="1"/>
    <col min="9005" max="9005" width="9.140625" style="1" customWidth="1"/>
    <col min="9006" max="9007" width="0" style="1" hidden="1" customWidth="1"/>
    <col min="9008" max="9008" width="9.140625" style="1" customWidth="1"/>
    <col min="9009" max="9010" width="0" style="1" hidden="1" customWidth="1"/>
    <col min="9011" max="9229" width="9.140625" style="1" customWidth="1"/>
    <col min="9230" max="9230" width="56.140625" style="1" customWidth="1"/>
    <col min="9231" max="9236" width="7.7109375" style="1"/>
    <col min="9237" max="9237" width="20.42578125" style="1" customWidth="1"/>
    <col min="9238" max="9238" width="37.42578125" style="1" customWidth="1"/>
    <col min="9239" max="9239" width="0" style="1" hidden="1" customWidth="1"/>
    <col min="9240" max="9240" width="27" style="1" customWidth="1"/>
    <col min="9241" max="9241" width="16.42578125" style="1" customWidth="1"/>
    <col min="9242" max="9242" width="0" style="1" hidden="1" customWidth="1"/>
    <col min="9243" max="9243" width="15.140625" style="1" customWidth="1"/>
    <col min="9244" max="9244" width="16.42578125" style="1" customWidth="1"/>
    <col min="9245" max="9245" width="16.5703125" style="1" customWidth="1"/>
    <col min="9246" max="9246" width="14.42578125" style="1" customWidth="1"/>
    <col min="9247" max="9247" width="16.5703125" style="1" customWidth="1"/>
    <col min="9248" max="9248" width="15.140625" style="1" customWidth="1"/>
    <col min="9249" max="9260" width="0" style="1" hidden="1" customWidth="1"/>
    <col min="9261" max="9261" width="9.140625" style="1" customWidth="1"/>
    <col min="9262" max="9263" width="0" style="1" hidden="1" customWidth="1"/>
    <col min="9264" max="9264" width="9.140625" style="1" customWidth="1"/>
    <col min="9265" max="9266" width="0" style="1" hidden="1" customWidth="1"/>
    <col min="9267" max="9485" width="9.140625" style="1" customWidth="1"/>
    <col min="9486" max="9486" width="56.140625" style="1" customWidth="1"/>
    <col min="9487" max="9492" width="7.7109375" style="1"/>
    <col min="9493" max="9493" width="20.42578125" style="1" customWidth="1"/>
    <col min="9494" max="9494" width="37.42578125" style="1" customWidth="1"/>
    <col min="9495" max="9495" width="0" style="1" hidden="1" customWidth="1"/>
    <col min="9496" max="9496" width="27" style="1" customWidth="1"/>
    <col min="9497" max="9497" width="16.42578125" style="1" customWidth="1"/>
    <col min="9498" max="9498" width="0" style="1" hidden="1" customWidth="1"/>
    <col min="9499" max="9499" width="15.140625" style="1" customWidth="1"/>
    <col min="9500" max="9500" width="16.42578125" style="1" customWidth="1"/>
    <col min="9501" max="9501" width="16.5703125" style="1" customWidth="1"/>
    <col min="9502" max="9502" width="14.42578125" style="1" customWidth="1"/>
    <col min="9503" max="9503" width="16.5703125" style="1" customWidth="1"/>
    <col min="9504" max="9504" width="15.140625" style="1" customWidth="1"/>
    <col min="9505" max="9516" width="0" style="1" hidden="1" customWidth="1"/>
    <col min="9517" max="9517" width="9.140625" style="1" customWidth="1"/>
    <col min="9518" max="9519" width="0" style="1" hidden="1" customWidth="1"/>
    <col min="9520" max="9520" width="9.140625" style="1" customWidth="1"/>
    <col min="9521" max="9522" width="0" style="1" hidden="1" customWidth="1"/>
    <col min="9523" max="9741" width="9.140625" style="1" customWidth="1"/>
    <col min="9742" max="9742" width="56.140625" style="1" customWidth="1"/>
    <col min="9743" max="9748" width="7.7109375" style="1"/>
    <col min="9749" max="9749" width="20.42578125" style="1" customWidth="1"/>
    <col min="9750" max="9750" width="37.42578125" style="1" customWidth="1"/>
    <col min="9751" max="9751" width="0" style="1" hidden="1" customWidth="1"/>
    <col min="9752" max="9752" width="27" style="1" customWidth="1"/>
    <col min="9753" max="9753" width="16.42578125" style="1" customWidth="1"/>
    <col min="9754" max="9754" width="0" style="1" hidden="1" customWidth="1"/>
    <col min="9755" max="9755" width="15.140625" style="1" customWidth="1"/>
    <col min="9756" max="9756" width="16.42578125" style="1" customWidth="1"/>
    <col min="9757" max="9757" width="16.5703125" style="1" customWidth="1"/>
    <col min="9758" max="9758" width="14.42578125" style="1" customWidth="1"/>
    <col min="9759" max="9759" width="16.5703125" style="1" customWidth="1"/>
    <col min="9760" max="9760" width="15.140625" style="1" customWidth="1"/>
    <col min="9761" max="9772" width="0" style="1" hidden="1" customWidth="1"/>
    <col min="9773" max="9773" width="9.140625" style="1" customWidth="1"/>
    <col min="9774" max="9775" width="0" style="1" hidden="1" customWidth="1"/>
    <col min="9776" max="9776" width="9.140625" style="1" customWidth="1"/>
    <col min="9777" max="9778" width="0" style="1" hidden="1" customWidth="1"/>
    <col min="9779" max="9997" width="9.140625" style="1" customWidth="1"/>
    <col min="9998" max="9998" width="56.140625" style="1" customWidth="1"/>
    <col min="9999" max="10004" width="7.7109375" style="1"/>
    <col min="10005" max="10005" width="20.42578125" style="1" customWidth="1"/>
    <col min="10006" max="10006" width="37.42578125" style="1" customWidth="1"/>
    <col min="10007" max="10007" width="0" style="1" hidden="1" customWidth="1"/>
    <col min="10008" max="10008" width="27" style="1" customWidth="1"/>
    <col min="10009" max="10009" width="16.42578125" style="1" customWidth="1"/>
    <col min="10010" max="10010" width="0" style="1" hidden="1" customWidth="1"/>
    <col min="10011" max="10011" width="15.140625" style="1" customWidth="1"/>
    <col min="10012" max="10012" width="16.42578125" style="1" customWidth="1"/>
    <col min="10013" max="10013" width="16.5703125" style="1" customWidth="1"/>
    <col min="10014" max="10014" width="14.42578125" style="1" customWidth="1"/>
    <col min="10015" max="10015" width="16.5703125" style="1" customWidth="1"/>
    <col min="10016" max="10016" width="15.140625" style="1" customWidth="1"/>
    <col min="10017" max="10028" width="0" style="1" hidden="1" customWidth="1"/>
    <col min="10029" max="10029" width="9.140625" style="1" customWidth="1"/>
    <col min="10030" max="10031" width="0" style="1" hidden="1" customWidth="1"/>
    <col min="10032" max="10032" width="9.140625" style="1" customWidth="1"/>
    <col min="10033" max="10034" width="0" style="1" hidden="1" customWidth="1"/>
    <col min="10035" max="10253" width="9.140625" style="1" customWidth="1"/>
    <col min="10254" max="10254" width="56.140625" style="1" customWidth="1"/>
    <col min="10255" max="10260" width="7.7109375" style="1"/>
    <col min="10261" max="10261" width="20.42578125" style="1" customWidth="1"/>
    <col min="10262" max="10262" width="37.42578125" style="1" customWidth="1"/>
    <col min="10263" max="10263" width="0" style="1" hidden="1" customWidth="1"/>
    <col min="10264" max="10264" width="27" style="1" customWidth="1"/>
    <col min="10265" max="10265" width="16.42578125" style="1" customWidth="1"/>
    <col min="10266" max="10266" width="0" style="1" hidden="1" customWidth="1"/>
    <col min="10267" max="10267" width="15.140625" style="1" customWidth="1"/>
    <col min="10268" max="10268" width="16.42578125" style="1" customWidth="1"/>
    <col min="10269" max="10269" width="16.5703125" style="1" customWidth="1"/>
    <col min="10270" max="10270" width="14.42578125" style="1" customWidth="1"/>
    <col min="10271" max="10271" width="16.5703125" style="1" customWidth="1"/>
    <col min="10272" max="10272" width="15.140625" style="1" customWidth="1"/>
    <col min="10273" max="10284" width="0" style="1" hidden="1" customWidth="1"/>
    <col min="10285" max="10285" width="9.140625" style="1" customWidth="1"/>
    <col min="10286" max="10287" width="0" style="1" hidden="1" customWidth="1"/>
    <col min="10288" max="10288" width="9.140625" style="1" customWidth="1"/>
    <col min="10289" max="10290" width="0" style="1" hidden="1" customWidth="1"/>
    <col min="10291" max="10509" width="9.140625" style="1" customWidth="1"/>
    <col min="10510" max="10510" width="56.140625" style="1" customWidth="1"/>
    <col min="10511" max="10516" width="7.7109375" style="1"/>
    <col min="10517" max="10517" width="20.42578125" style="1" customWidth="1"/>
    <col min="10518" max="10518" width="37.42578125" style="1" customWidth="1"/>
    <col min="10519" max="10519" width="0" style="1" hidden="1" customWidth="1"/>
    <col min="10520" max="10520" width="27" style="1" customWidth="1"/>
    <col min="10521" max="10521" width="16.42578125" style="1" customWidth="1"/>
    <col min="10522" max="10522" width="0" style="1" hidden="1" customWidth="1"/>
    <col min="10523" max="10523" width="15.140625" style="1" customWidth="1"/>
    <col min="10524" max="10524" width="16.42578125" style="1" customWidth="1"/>
    <col min="10525" max="10525" width="16.5703125" style="1" customWidth="1"/>
    <col min="10526" max="10526" width="14.42578125" style="1" customWidth="1"/>
    <col min="10527" max="10527" width="16.5703125" style="1" customWidth="1"/>
    <col min="10528" max="10528" width="15.140625" style="1" customWidth="1"/>
    <col min="10529" max="10540" width="0" style="1" hidden="1" customWidth="1"/>
    <col min="10541" max="10541" width="9.140625" style="1" customWidth="1"/>
    <col min="10542" max="10543" width="0" style="1" hidden="1" customWidth="1"/>
    <col min="10544" max="10544" width="9.140625" style="1" customWidth="1"/>
    <col min="10545" max="10546" width="0" style="1" hidden="1" customWidth="1"/>
    <col min="10547" max="10765" width="9.140625" style="1" customWidth="1"/>
    <col min="10766" max="10766" width="56.140625" style="1" customWidth="1"/>
    <col min="10767" max="10772" width="7.7109375" style="1"/>
    <col min="10773" max="10773" width="20.42578125" style="1" customWidth="1"/>
    <col min="10774" max="10774" width="37.42578125" style="1" customWidth="1"/>
    <col min="10775" max="10775" width="0" style="1" hidden="1" customWidth="1"/>
    <col min="10776" max="10776" width="27" style="1" customWidth="1"/>
    <col min="10777" max="10777" width="16.42578125" style="1" customWidth="1"/>
    <col min="10778" max="10778" width="0" style="1" hidden="1" customWidth="1"/>
    <col min="10779" max="10779" width="15.140625" style="1" customWidth="1"/>
    <col min="10780" max="10780" width="16.42578125" style="1" customWidth="1"/>
    <col min="10781" max="10781" width="16.5703125" style="1" customWidth="1"/>
    <col min="10782" max="10782" width="14.42578125" style="1" customWidth="1"/>
    <col min="10783" max="10783" width="16.5703125" style="1" customWidth="1"/>
    <col min="10784" max="10784" width="15.140625" style="1" customWidth="1"/>
    <col min="10785" max="10796" width="0" style="1" hidden="1" customWidth="1"/>
    <col min="10797" max="10797" width="9.140625" style="1" customWidth="1"/>
    <col min="10798" max="10799" width="0" style="1" hidden="1" customWidth="1"/>
    <col min="10800" max="10800" width="9.140625" style="1" customWidth="1"/>
    <col min="10801" max="10802" width="0" style="1" hidden="1" customWidth="1"/>
    <col min="10803" max="11021" width="9.140625" style="1" customWidth="1"/>
    <col min="11022" max="11022" width="56.140625" style="1" customWidth="1"/>
    <col min="11023" max="11028" width="7.7109375" style="1"/>
    <col min="11029" max="11029" width="20.42578125" style="1" customWidth="1"/>
    <col min="11030" max="11030" width="37.42578125" style="1" customWidth="1"/>
    <col min="11031" max="11031" width="0" style="1" hidden="1" customWidth="1"/>
    <col min="11032" max="11032" width="27" style="1" customWidth="1"/>
    <col min="11033" max="11033" width="16.42578125" style="1" customWidth="1"/>
    <col min="11034" max="11034" width="0" style="1" hidden="1" customWidth="1"/>
    <col min="11035" max="11035" width="15.140625" style="1" customWidth="1"/>
    <col min="11036" max="11036" width="16.42578125" style="1" customWidth="1"/>
    <col min="11037" max="11037" width="16.5703125" style="1" customWidth="1"/>
    <col min="11038" max="11038" width="14.42578125" style="1" customWidth="1"/>
    <col min="11039" max="11039" width="16.5703125" style="1" customWidth="1"/>
    <col min="11040" max="11040" width="15.140625" style="1" customWidth="1"/>
    <col min="11041" max="11052" width="0" style="1" hidden="1" customWidth="1"/>
    <col min="11053" max="11053" width="9.140625" style="1" customWidth="1"/>
    <col min="11054" max="11055" width="0" style="1" hidden="1" customWidth="1"/>
    <col min="11056" max="11056" width="9.140625" style="1" customWidth="1"/>
    <col min="11057" max="11058" width="0" style="1" hidden="1" customWidth="1"/>
    <col min="11059" max="11277" width="9.140625" style="1" customWidth="1"/>
    <col min="11278" max="11278" width="56.140625" style="1" customWidth="1"/>
    <col min="11279" max="11284" width="7.7109375" style="1"/>
    <col min="11285" max="11285" width="20.42578125" style="1" customWidth="1"/>
    <col min="11286" max="11286" width="37.42578125" style="1" customWidth="1"/>
    <col min="11287" max="11287" width="0" style="1" hidden="1" customWidth="1"/>
    <col min="11288" max="11288" width="27" style="1" customWidth="1"/>
    <col min="11289" max="11289" width="16.42578125" style="1" customWidth="1"/>
    <col min="11290" max="11290" width="0" style="1" hidden="1" customWidth="1"/>
    <col min="11291" max="11291" width="15.140625" style="1" customWidth="1"/>
    <col min="11292" max="11292" width="16.42578125" style="1" customWidth="1"/>
    <col min="11293" max="11293" width="16.5703125" style="1" customWidth="1"/>
    <col min="11294" max="11294" width="14.42578125" style="1" customWidth="1"/>
    <col min="11295" max="11295" width="16.5703125" style="1" customWidth="1"/>
    <col min="11296" max="11296" width="15.140625" style="1" customWidth="1"/>
    <col min="11297" max="11308" width="0" style="1" hidden="1" customWidth="1"/>
    <col min="11309" max="11309" width="9.140625" style="1" customWidth="1"/>
    <col min="11310" max="11311" width="0" style="1" hidden="1" customWidth="1"/>
    <col min="11312" max="11312" width="9.140625" style="1" customWidth="1"/>
    <col min="11313" max="11314" width="0" style="1" hidden="1" customWidth="1"/>
    <col min="11315" max="11533" width="9.140625" style="1" customWidth="1"/>
    <col min="11534" max="11534" width="56.140625" style="1" customWidth="1"/>
    <col min="11535" max="11540" width="7.7109375" style="1"/>
    <col min="11541" max="11541" width="20.42578125" style="1" customWidth="1"/>
    <col min="11542" max="11542" width="37.42578125" style="1" customWidth="1"/>
    <col min="11543" max="11543" width="0" style="1" hidden="1" customWidth="1"/>
    <col min="11544" max="11544" width="27" style="1" customWidth="1"/>
    <col min="11545" max="11545" width="16.42578125" style="1" customWidth="1"/>
    <col min="11546" max="11546" width="0" style="1" hidden="1" customWidth="1"/>
    <col min="11547" max="11547" width="15.140625" style="1" customWidth="1"/>
    <col min="11548" max="11548" width="16.42578125" style="1" customWidth="1"/>
    <col min="11549" max="11549" width="16.5703125" style="1" customWidth="1"/>
    <col min="11550" max="11550" width="14.42578125" style="1" customWidth="1"/>
    <col min="11551" max="11551" width="16.5703125" style="1" customWidth="1"/>
    <col min="11552" max="11552" width="15.140625" style="1" customWidth="1"/>
    <col min="11553" max="11564" width="0" style="1" hidden="1" customWidth="1"/>
    <col min="11565" max="11565" width="9.140625" style="1" customWidth="1"/>
    <col min="11566" max="11567" width="0" style="1" hidden="1" customWidth="1"/>
    <col min="11568" max="11568" width="9.140625" style="1" customWidth="1"/>
    <col min="11569" max="11570" width="0" style="1" hidden="1" customWidth="1"/>
    <col min="11571" max="11789" width="9.140625" style="1" customWidth="1"/>
    <col min="11790" max="11790" width="56.140625" style="1" customWidth="1"/>
    <col min="11791" max="11796" width="7.7109375" style="1"/>
    <col min="11797" max="11797" width="20.42578125" style="1" customWidth="1"/>
    <col min="11798" max="11798" width="37.42578125" style="1" customWidth="1"/>
    <col min="11799" max="11799" width="0" style="1" hidden="1" customWidth="1"/>
    <col min="11800" max="11800" width="27" style="1" customWidth="1"/>
    <col min="11801" max="11801" width="16.42578125" style="1" customWidth="1"/>
    <col min="11802" max="11802" width="0" style="1" hidden="1" customWidth="1"/>
    <col min="11803" max="11803" width="15.140625" style="1" customWidth="1"/>
    <col min="11804" max="11804" width="16.42578125" style="1" customWidth="1"/>
    <col min="11805" max="11805" width="16.5703125" style="1" customWidth="1"/>
    <col min="11806" max="11806" width="14.42578125" style="1" customWidth="1"/>
    <col min="11807" max="11807" width="16.5703125" style="1" customWidth="1"/>
    <col min="11808" max="11808" width="15.140625" style="1" customWidth="1"/>
    <col min="11809" max="11820" width="0" style="1" hidden="1" customWidth="1"/>
    <col min="11821" max="11821" width="9.140625" style="1" customWidth="1"/>
    <col min="11822" max="11823" width="0" style="1" hidden="1" customWidth="1"/>
    <col min="11824" max="11824" width="9.140625" style="1" customWidth="1"/>
    <col min="11825" max="11826" width="0" style="1" hidden="1" customWidth="1"/>
    <col min="11827" max="12045" width="9.140625" style="1" customWidth="1"/>
    <col min="12046" max="12046" width="56.140625" style="1" customWidth="1"/>
    <col min="12047" max="12052" width="7.7109375" style="1"/>
    <col min="12053" max="12053" width="20.42578125" style="1" customWidth="1"/>
    <col min="12054" max="12054" width="37.42578125" style="1" customWidth="1"/>
    <col min="12055" max="12055" width="0" style="1" hidden="1" customWidth="1"/>
    <col min="12056" max="12056" width="27" style="1" customWidth="1"/>
    <col min="12057" max="12057" width="16.42578125" style="1" customWidth="1"/>
    <col min="12058" max="12058" width="0" style="1" hidden="1" customWidth="1"/>
    <col min="12059" max="12059" width="15.140625" style="1" customWidth="1"/>
    <col min="12060" max="12060" width="16.42578125" style="1" customWidth="1"/>
    <col min="12061" max="12061" width="16.5703125" style="1" customWidth="1"/>
    <col min="12062" max="12062" width="14.42578125" style="1" customWidth="1"/>
    <col min="12063" max="12063" width="16.5703125" style="1" customWidth="1"/>
    <col min="12064" max="12064" width="15.140625" style="1" customWidth="1"/>
    <col min="12065" max="12076" width="0" style="1" hidden="1" customWidth="1"/>
    <col min="12077" max="12077" width="9.140625" style="1" customWidth="1"/>
    <col min="12078" max="12079" width="0" style="1" hidden="1" customWidth="1"/>
    <col min="12080" max="12080" width="9.140625" style="1" customWidth="1"/>
    <col min="12081" max="12082" width="0" style="1" hidden="1" customWidth="1"/>
    <col min="12083" max="12301" width="9.140625" style="1" customWidth="1"/>
    <col min="12302" max="12302" width="56.140625" style="1" customWidth="1"/>
    <col min="12303" max="12308" width="7.7109375" style="1"/>
    <col min="12309" max="12309" width="20.42578125" style="1" customWidth="1"/>
    <col min="12310" max="12310" width="37.42578125" style="1" customWidth="1"/>
    <col min="12311" max="12311" width="0" style="1" hidden="1" customWidth="1"/>
    <col min="12312" max="12312" width="27" style="1" customWidth="1"/>
    <col min="12313" max="12313" width="16.42578125" style="1" customWidth="1"/>
    <col min="12314" max="12314" width="0" style="1" hidden="1" customWidth="1"/>
    <col min="12315" max="12315" width="15.140625" style="1" customWidth="1"/>
    <col min="12316" max="12316" width="16.42578125" style="1" customWidth="1"/>
    <col min="12317" max="12317" width="16.5703125" style="1" customWidth="1"/>
    <col min="12318" max="12318" width="14.42578125" style="1" customWidth="1"/>
    <col min="12319" max="12319" width="16.5703125" style="1" customWidth="1"/>
    <col min="12320" max="12320" width="15.140625" style="1" customWidth="1"/>
    <col min="12321" max="12332" width="0" style="1" hidden="1" customWidth="1"/>
    <col min="12333" max="12333" width="9.140625" style="1" customWidth="1"/>
    <col min="12334" max="12335" width="0" style="1" hidden="1" customWidth="1"/>
    <col min="12336" max="12336" width="9.140625" style="1" customWidth="1"/>
    <col min="12337" max="12338" width="0" style="1" hidden="1" customWidth="1"/>
    <col min="12339" max="12557" width="9.140625" style="1" customWidth="1"/>
    <col min="12558" max="12558" width="56.140625" style="1" customWidth="1"/>
    <col min="12559" max="12564" width="7.7109375" style="1"/>
    <col min="12565" max="12565" width="20.42578125" style="1" customWidth="1"/>
    <col min="12566" max="12566" width="37.42578125" style="1" customWidth="1"/>
    <col min="12567" max="12567" width="0" style="1" hidden="1" customWidth="1"/>
    <col min="12568" max="12568" width="27" style="1" customWidth="1"/>
    <col min="12569" max="12569" width="16.42578125" style="1" customWidth="1"/>
    <col min="12570" max="12570" width="0" style="1" hidden="1" customWidth="1"/>
    <col min="12571" max="12571" width="15.140625" style="1" customWidth="1"/>
    <col min="12572" max="12572" width="16.42578125" style="1" customWidth="1"/>
    <col min="12573" max="12573" width="16.5703125" style="1" customWidth="1"/>
    <col min="12574" max="12574" width="14.42578125" style="1" customWidth="1"/>
    <col min="12575" max="12575" width="16.5703125" style="1" customWidth="1"/>
    <col min="12576" max="12576" width="15.140625" style="1" customWidth="1"/>
    <col min="12577" max="12588" width="0" style="1" hidden="1" customWidth="1"/>
    <col min="12589" max="12589" width="9.140625" style="1" customWidth="1"/>
    <col min="12590" max="12591" width="0" style="1" hidden="1" customWidth="1"/>
    <col min="12592" max="12592" width="9.140625" style="1" customWidth="1"/>
    <col min="12593" max="12594" width="0" style="1" hidden="1" customWidth="1"/>
    <col min="12595" max="12813" width="9.140625" style="1" customWidth="1"/>
    <col min="12814" max="12814" width="56.140625" style="1" customWidth="1"/>
    <col min="12815" max="12820" width="7.7109375" style="1"/>
    <col min="12821" max="12821" width="20.42578125" style="1" customWidth="1"/>
    <col min="12822" max="12822" width="37.42578125" style="1" customWidth="1"/>
    <col min="12823" max="12823" width="0" style="1" hidden="1" customWidth="1"/>
    <col min="12824" max="12824" width="27" style="1" customWidth="1"/>
    <col min="12825" max="12825" width="16.42578125" style="1" customWidth="1"/>
    <col min="12826" max="12826" width="0" style="1" hidden="1" customWidth="1"/>
    <col min="12827" max="12827" width="15.140625" style="1" customWidth="1"/>
    <col min="12828" max="12828" width="16.42578125" style="1" customWidth="1"/>
    <col min="12829" max="12829" width="16.5703125" style="1" customWidth="1"/>
    <col min="12830" max="12830" width="14.42578125" style="1" customWidth="1"/>
    <col min="12831" max="12831" width="16.5703125" style="1" customWidth="1"/>
    <col min="12832" max="12832" width="15.140625" style="1" customWidth="1"/>
    <col min="12833" max="12844" width="0" style="1" hidden="1" customWidth="1"/>
    <col min="12845" max="12845" width="9.140625" style="1" customWidth="1"/>
    <col min="12846" max="12847" width="0" style="1" hidden="1" customWidth="1"/>
    <col min="12848" max="12848" width="9.140625" style="1" customWidth="1"/>
    <col min="12849" max="12850" width="0" style="1" hidden="1" customWidth="1"/>
    <col min="12851" max="13069" width="9.140625" style="1" customWidth="1"/>
    <col min="13070" max="13070" width="56.140625" style="1" customWidth="1"/>
    <col min="13071" max="13076" width="7.7109375" style="1"/>
    <col min="13077" max="13077" width="20.42578125" style="1" customWidth="1"/>
    <col min="13078" max="13078" width="37.42578125" style="1" customWidth="1"/>
    <col min="13079" max="13079" width="0" style="1" hidden="1" customWidth="1"/>
    <col min="13080" max="13080" width="27" style="1" customWidth="1"/>
    <col min="13081" max="13081" width="16.42578125" style="1" customWidth="1"/>
    <col min="13082" max="13082" width="0" style="1" hidden="1" customWidth="1"/>
    <col min="13083" max="13083" width="15.140625" style="1" customWidth="1"/>
    <col min="13084" max="13084" width="16.42578125" style="1" customWidth="1"/>
    <col min="13085" max="13085" width="16.5703125" style="1" customWidth="1"/>
    <col min="13086" max="13086" width="14.42578125" style="1" customWidth="1"/>
    <col min="13087" max="13087" width="16.5703125" style="1" customWidth="1"/>
    <col min="13088" max="13088" width="15.140625" style="1" customWidth="1"/>
    <col min="13089" max="13100" width="0" style="1" hidden="1" customWidth="1"/>
    <col min="13101" max="13101" width="9.140625" style="1" customWidth="1"/>
    <col min="13102" max="13103" width="0" style="1" hidden="1" customWidth="1"/>
    <col min="13104" max="13104" width="9.140625" style="1" customWidth="1"/>
    <col min="13105" max="13106" width="0" style="1" hidden="1" customWidth="1"/>
    <col min="13107" max="13325" width="9.140625" style="1" customWidth="1"/>
    <col min="13326" max="13326" width="56.140625" style="1" customWidth="1"/>
    <col min="13327" max="13332" width="7.7109375" style="1"/>
    <col min="13333" max="13333" width="20.42578125" style="1" customWidth="1"/>
    <col min="13334" max="13334" width="37.42578125" style="1" customWidth="1"/>
    <col min="13335" max="13335" width="0" style="1" hidden="1" customWidth="1"/>
    <col min="13336" max="13336" width="27" style="1" customWidth="1"/>
    <col min="13337" max="13337" width="16.42578125" style="1" customWidth="1"/>
    <col min="13338" max="13338" width="0" style="1" hidden="1" customWidth="1"/>
    <col min="13339" max="13339" width="15.140625" style="1" customWidth="1"/>
    <col min="13340" max="13340" width="16.42578125" style="1" customWidth="1"/>
    <col min="13341" max="13341" width="16.5703125" style="1" customWidth="1"/>
    <col min="13342" max="13342" width="14.42578125" style="1" customWidth="1"/>
    <col min="13343" max="13343" width="16.5703125" style="1" customWidth="1"/>
    <col min="13344" max="13344" width="15.140625" style="1" customWidth="1"/>
    <col min="13345" max="13356" width="0" style="1" hidden="1" customWidth="1"/>
    <col min="13357" max="13357" width="9.140625" style="1" customWidth="1"/>
    <col min="13358" max="13359" width="0" style="1" hidden="1" customWidth="1"/>
    <col min="13360" max="13360" width="9.140625" style="1" customWidth="1"/>
    <col min="13361" max="13362" width="0" style="1" hidden="1" customWidth="1"/>
    <col min="13363" max="13581" width="9.140625" style="1" customWidth="1"/>
    <col min="13582" max="13582" width="56.140625" style="1" customWidth="1"/>
    <col min="13583" max="13588" width="7.7109375" style="1"/>
    <col min="13589" max="13589" width="20.42578125" style="1" customWidth="1"/>
    <col min="13590" max="13590" width="37.42578125" style="1" customWidth="1"/>
    <col min="13591" max="13591" width="0" style="1" hidden="1" customWidth="1"/>
    <col min="13592" max="13592" width="27" style="1" customWidth="1"/>
    <col min="13593" max="13593" width="16.42578125" style="1" customWidth="1"/>
    <col min="13594" max="13594" width="0" style="1" hidden="1" customWidth="1"/>
    <col min="13595" max="13595" width="15.140625" style="1" customWidth="1"/>
    <col min="13596" max="13596" width="16.42578125" style="1" customWidth="1"/>
    <col min="13597" max="13597" width="16.5703125" style="1" customWidth="1"/>
    <col min="13598" max="13598" width="14.42578125" style="1" customWidth="1"/>
    <col min="13599" max="13599" width="16.5703125" style="1" customWidth="1"/>
    <col min="13600" max="13600" width="15.140625" style="1" customWidth="1"/>
    <col min="13601" max="13612" width="0" style="1" hidden="1" customWidth="1"/>
    <col min="13613" max="13613" width="9.140625" style="1" customWidth="1"/>
    <col min="13614" max="13615" width="0" style="1" hidden="1" customWidth="1"/>
    <col min="13616" max="13616" width="9.140625" style="1" customWidth="1"/>
    <col min="13617" max="13618" width="0" style="1" hidden="1" customWidth="1"/>
    <col min="13619" max="13837" width="9.140625" style="1" customWidth="1"/>
    <col min="13838" max="13838" width="56.140625" style="1" customWidth="1"/>
    <col min="13839" max="13844" width="7.7109375" style="1"/>
    <col min="13845" max="13845" width="20.42578125" style="1" customWidth="1"/>
    <col min="13846" max="13846" width="37.42578125" style="1" customWidth="1"/>
    <col min="13847" max="13847" width="0" style="1" hidden="1" customWidth="1"/>
    <col min="13848" max="13848" width="27" style="1" customWidth="1"/>
    <col min="13849" max="13849" width="16.42578125" style="1" customWidth="1"/>
    <col min="13850" max="13850" width="0" style="1" hidden="1" customWidth="1"/>
    <col min="13851" max="13851" width="15.140625" style="1" customWidth="1"/>
    <col min="13852" max="13852" width="16.42578125" style="1" customWidth="1"/>
    <col min="13853" max="13853" width="16.5703125" style="1" customWidth="1"/>
    <col min="13854" max="13854" width="14.42578125" style="1" customWidth="1"/>
    <col min="13855" max="13855" width="16.5703125" style="1" customWidth="1"/>
    <col min="13856" max="13856" width="15.140625" style="1" customWidth="1"/>
    <col min="13857" max="13868" width="0" style="1" hidden="1" customWidth="1"/>
    <col min="13869" max="13869" width="9.140625" style="1" customWidth="1"/>
    <col min="13870" max="13871" width="0" style="1" hidden="1" customWidth="1"/>
    <col min="13872" max="13872" width="9.140625" style="1" customWidth="1"/>
    <col min="13873" max="13874" width="0" style="1" hidden="1" customWidth="1"/>
    <col min="13875" max="14093" width="9.140625" style="1" customWidth="1"/>
    <col min="14094" max="14094" width="56.140625" style="1" customWidth="1"/>
    <col min="14095" max="14100" width="7.7109375" style="1"/>
    <col min="14101" max="14101" width="20.42578125" style="1" customWidth="1"/>
    <col min="14102" max="14102" width="37.42578125" style="1" customWidth="1"/>
    <col min="14103" max="14103" width="0" style="1" hidden="1" customWidth="1"/>
    <col min="14104" max="14104" width="27" style="1" customWidth="1"/>
    <col min="14105" max="14105" width="16.42578125" style="1" customWidth="1"/>
    <col min="14106" max="14106" width="0" style="1" hidden="1" customWidth="1"/>
    <col min="14107" max="14107" width="15.140625" style="1" customWidth="1"/>
    <col min="14108" max="14108" width="16.42578125" style="1" customWidth="1"/>
    <col min="14109" max="14109" width="16.5703125" style="1" customWidth="1"/>
    <col min="14110" max="14110" width="14.42578125" style="1" customWidth="1"/>
    <col min="14111" max="14111" width="16.5703125" style="1" customWidth="1"/>
    <col min="14112" max="14112" width="15.140625" style="1" customWidth="1"/>
    <col min="14113" max="14124" width="0" style="1" hidden="1" customWidth="1"/>
    <col min="14125" max="14125" width="9.140625" style="1" customWidth="1"/>
    <col min="14126" max="14127" width="0" style="1" hidden="1" customWidth="1"/>
    <col min="14128" max="14128" width="9.140625" style="1" customWidth="1"/>
    <col min="14129" max="14130" width="0" style="1" hidden="1" customWidth="1"/>
    <col min="14131" max="14349" width="9.140625" style="1" customWidth="1"/>
    <col min="14350" max="14350" width="56.140625" style="1" customWidth="1"/>
    <col min="14351" max="14356" width="7.7109375" style="1"/>
    <col min="14357" max="14357" width="20.42578125" style="1" customWidth="1"/>
    <col min="14358" max="14358" width="37.42578125" style="1" customWidth="1"/>
    <col min="14359" max="14359" width="0" style="1" hidden="1" customWidth="1"/>
    <col min="14360" max="14360" width="27" style="1" customWidth="1"/>
    <col min="14361" max="14361" width="16.42578125" style="1" customWidth="1"/>
    <col min="14362" max="14362" width="0" style="1" hidden="1" customWidth="1"/>
    <col min="14363" max="14363" width="15.140625" style="1" customWidth="1"/>
    <col min="14364" max="14364" width="16.42578125" style="1" customWidth="1"/>
    <col min="14365" max="14365" width="16.5703125" style="1" customWidth="1"/>
    <col min="14366" max="14366" width="14.42578125" style="1" customWidth="1"/>
    <col min="14367" max="14367" width="16.5703125" style="1" customWidth="1"/>
    <col min="14368" max="14368" width="15.140625" style="1" customWidth="1"/>
    <col min="14369" max="14380" width="0" style="1" hidden="1" customWidth="1"/>
    <col min="14381" max="14381" width="9.140625" style="1" customWidth="1"/>
    <col min="14382" max="14383" width="0" style="1" hidden="1" customWidth="1"/>
    <col min="14384" max="14384" width="9.140625" style="1" customWidth="1"/>
    <col min="14385" max="14386" width="0" style="1" hidden="1" customWidth="1"/>
    <col min="14387" max="14605" width="9.140625" style="1" customWidth="1"/>
    <col min="14606" max="14606" width="56.140625" style="1" customWidth="1"/>
    <col min="14607" max="14612" width="7.7109375" style="1"/>
    <col min="14613" max="14613" width="20.42578125" style="1" customWidth="1"/>
    <col min="14614" max="14614" width="37.42578125" style="1" customWidth="1"/>
    <col min="14615" max="14615" width="0" style="1" hidden="1" customWidth="1"/>
    <col min="14616" max="14616" width="27" style="1" customWidth="1"/>
    <col min="14617" max="14617" width="16.42578125" style="1" customWidth="1"/>
    <col min="14618" max="14618" width="0" style="1" hidden="1" customWidth="1"/>
    <col min="14619" max="14619" width="15.140625" style="1" customWidth="1"/>
    <col min="14620" max="14620" width="16.42578125" style="1" customWidth="1"/>
    <col min="14621" max="14621" width="16.5703125" style="1" customWidth="1"/>
    <col min="14622" max="14622" width="14.42578125" style="1" customWidth="1"/>
    <col min="14623" max="14623" width="16.5703125" style="1" customWidth="1"/>
    <col min="14624" max="14624" width="15.140625" style="1" customWidth="1"/>
    <col min="14625" max="14636" width="0" style="1" hidden="1" customWidth="1"/>
    <col min="14637" max="14637" width="9.140625" style="1" customWidth="1"/>
    <col min="14638" max="14639" width="0" style="1" hidden="1" customWidth="1"/>
    <col min="14640" max="14640" width="9.140625" style="1" customWidth="1"/>
    <col min="14641" max="14642" width="0" style="1" hidden="1" customWidth="1"/>
    <col min="14643" max="14861" width="9.140625" style="1" customWidth="1"/>
    <col min="14862" max="14862" width="56.140625" style="1" customWidth="1"/>
    <col min="14863" max="14868" width="7.7109375" style="1"/>
    <col min="14869" max="14869" width="20.42578125" style="1" customWidth="1"/>
    <col min="14870" max="14870" width="37.42578125" style="1" customWidth="1"/>
    <col min="14871" max="14871" width="0" style="1" hidden="1" customWidth="1"/>
    <col min="14872" max="14872" width="27" style="1" customWidth="1"/>
    <col min="14873" max="14873" width="16.42578125" style="1" customWidth="1"/>
    <col min="14874" max="14874" width="0" style="1" hidden="1" customWidth="1"/>
    <col min="14875" max="14875" width="15.140625" style="1" customWidth="1"/>
    <col min="14876" max="14876" width="16.42578125" style="1" customWidth="1"/>
    <col min="14877" max="14877" width="16.5703125" style="1" customWidth="1"/>
    <col min="14878" max="14878" width="14.42578125" style="1" customWidth="1"/>
    <col min="14879" max="14879" width="16.5703125" style="1" customWidth="1"/>
    <col min="14880" max="14880" width="15.140625" style="1" customWidth="1"/>
    <col min="14881" max="14892" width="0" style="1" hidden="1" customWidth="1"/>
    <col min="14893" max="14893" width="9.140625" style="1" customWidth="1"/>
    <col min="14894" max="14895" width="0" style="1" hidden="1" customWidth="1"/>
    <col min="14896" max="14896" width="9.140625" style="1" customWidth="1"/>
    <col min="14897" max="14898" width="0" style="1" hidden="1" customWidth="1"/>
    <col min="14899" max="15117" width="9.140625" style="1" customWidth="1"/>
    <col min="15118" max="15118" width="56.140625" style="1" customWidth="1"/>
    <col min="15119" max="15124" width="7.7109375" style="1"/>
    <col min="15125" max="15125" width="20.42578125" style="1" customWidth="1"/>
    <col min="15126" max="15126" width="37.42578125" style="1" customWidth="1"/>
    <col min="15127" max="15127" width="0" style="1" hidden="1" customWidth="1"/>
    <col min="15128" max="15128" width="27" style="1" customWidth="1"/>
    <col min="15129" max="15129" width="16.42578125" style="1" customWidth="1"/>
    <col min="15130" max="15130" width="0" style="1" hidden="1" customWidth="1"/>
    <col min="15131" max="15131" width="15.140625" style="1" customWidth="1"/>
    <col min="15132" max="15132" width="16.42578125" style="1" customWidth="1"/>
    <col min="15133" max="15133" width="16.5703125" style="1" customWidth="1"/>
    <col min="15134" max="15134" width="14.42578125" style="1" customWidth="1"/>
    <col min="15135" max="15135" width="16.5703125" style="1" customWidth="1"/>
    <col min="15136" max="15136" width="15.140625" style="1" customWidth="1"/>
    <col min="15137" max="15148" width="0" style="1" hidden="1" customWidth="1"/>
    <col min="15149" max="15149" width="9.140625" style="1" customWidth="1"/>
    <col min="15150" max="15151" width="0" style="1" hidden="1" customWidth="1"/>
    <col min="15152" max="15152" width="9.140625" style="1" customWidth="1"/>
    <col min="15153" max="15154" width="0" style="1" hidden="1" customWidth="1"/>
    <col min="15155" max="15373" width="9.140625" style="1" customWidth="1"/>
    <col min="15374" max="15374" width="56.140625" style="1" customWidth="1"/>
    <col min="15375" max="15380" width="7.7109375" style="1"/>
    <col min="15381" max="15381" width="20.42578125" style="1" customWidth="1"/>
    <col min="15382" max="15382" width="37.42578125" style="1" customWidth="1"/>
    <col min="15383" max="15383" width="0" style="1" hidden="1" customWidth="1"/>
    <col min="15384" max="15384" width="27" style="1" customWidth="1"/>
    <col min="15385" max="15385" width="16.42578125" style="1" customWidth="1"/>
    <col min="15386" max="15386" width="0" style="1" hidden="1" customWidth="1"/>
    <col min="15387" max="15387" width="15.140625" style="1" customWidth="1"/>
    <col min="15388" max="15388" width="16.42578125" style="1" customWidth="1"/>
    <col min="15389" max="15389" width="16.5703125" style="1" customWidth="1"/>
    <col min="15390" max="15390" width="14.42578125" style="1" customWidth="1"/>
    <col min="15391" max="15391" width="16.5703125" style="1" customWidth="1"/>
    <col min="15392" max="15392" width="15.140625" style="1" customWidth="1"/>
    <col min="15393" max="15404" width="0" style="1" hidden="1" customWidth="1"/>
    <col min="15405" max="15405" width="9.140625" style="1" customWidth="1"/>
    <col min="15406" max="15407" width="0" style="1" hidden="1" customWidth="1"/>
    <col min="15408" max="15408" width="9.140625" style="1" customWidth="1"/>
    <col min="15409" max="15410" width="0" style="1" hidden="1" customWidth="1"/>
    <col min="15411" max="15629" width="9.140625" style="1" customWidth="1"/>
    <col min="15630" max="15630" width="56.140625" style="1" customWidth="1"/>
    <col min="15631" max="15636" width="7.7109375" style="1"/>
    <col min="15637" max="15637" width="20.42578125" style="1" customWidth="1"/>
    <col min="15638" max="15638" width="37.42578125" style="1" customWidth="1"/>
    <col min="15639" max="15639" width="0" style="1" hidden="1" customWidth="1"/>
    <col min="15640" max="15640" width="27" style="1" customWidth="1"/>
    <col min="15641" max="15641" width="16.42578125" style="1" customWidth="1"/>
    <col min="15642" max="15642" width="0" style="1" hidden="1" customWidth="1"/>
    <col min="15643" max="15643" width="15.140625" style="1" customWidth="1"/>
    <col min="15644" max="15644" width="16.42578125" style="1" customWidth="1"/>
    <col min="15645" max="15645" width="16.5703125" style="1" customWidth="1"/>
    <col min="15646" max="15646" width="14.42578125" style="1" customWidth="1"/>
    <col min="15647" max="15647" width="16.5703125" style="1" customWidth="1"/>
    <col min="15648" max="15648" width="15.140625" style="1" customWidth="1"/>
    <col min="15649" max="15660" width="0" style="1" hidden="1" customWidth="1"/>
    <col min="15661" max="15661" width="9.140625" style="1" customWidth="1"/>
    <col min="15662" max="15663" width="0" style="1" hidden="1" customWidth="1"/>
    <col min="15664" max="15664" width="9.140625" style="1" customWidth="1"/>
    <col min="15665" max="15666" width="0" style="1" hidden="1" customWidth="1"/>
    <col min="15667" max="15817" width="9.140625" style="1" customWidth="1"/>
    <col min="15818" max="15818" width="7.5703125" style="1" customWidth="1"/>
    <col min="15819" max="15825" width="9.140625" style="1" hidden="1" customWidth="1"/>
    <col min="15826" max="15826" width="7.7109375" style="1" hidden="1" customWidth="1"/>
    <col min="15827" max="15829" width="9.140625" style="1" hidden="1" customWidth="1"/>
    <col min="15830" max="15830" width="7" style="1" hidden="1" customWidth="1"/>
    <col min="15831" max="15843" width="9.140625" style="1" hidden="1" customWidth="1"/>
    <col min="15844" max="15844" width="74.28515625" style="1" hidden="1" customWidth="1"/>
    <col min="15845" max="15854" width="9.140625" style="1" hidden="1" customWidth="1"/>
    <col min="15855" max="15855" width="8.5703125" style="1" hidden="1" customWidth="1"/>
    <col min="15856" max="15871" width="9.140625" style="1" hidden="1" customWidth="1"/>
    <col min="15872" max="15872" width="0.7109375" style="1" hidden="1" customWidth="1"/>
    <col min="15873" max="15884" width="9.140625" style="1" hidden="1" customWidth="1"/>
    <col min="15885" max="15885" width="0.140625" style="1" hidden="1" customWidth="1"/>
    <col min="15886" max="15886" width="56.140625" style="1" hidden="1" customWidth="1"/>
    <col min="15887" max="15892" width="7.7109375" style="1" hidden="1" customWidth="1"/>
    <col min="15893" max="15893" width="20.42578125" style="1" hidden="1" customWidth="1"/>
    <col min="15894" max="15894" width="2.28515625" style="1" hidden="1" customWidth="1"/>
    <col min="15895" max="15895" width="0" style="1" hidden="1" customWidth="1"/>
    <col min="15896" max="15896" width="27" style="1" hidden="1" customWidth="1"/>
    <col min="15897" max="15897" width="16.42578125" style="1" hidden="1" customWidth="1"/>
    <col min="15898" max="15898" width="0" style="1" hidden="1" customWidth="1"/>
    <col min="15899" max="15899" width="15.140625" style="1" hidden="1" customWidth="1"/>
    <col min="15900" max="15900" width="16.42578125" style="1" hidden="1" customWidth="1"/>
    <col min="15901" max="15902" width="14.42578125" style="1" hidden="1" customWidth="1"/>
    <col min="15903" max="15903" width="16.5703125" style="1" hidden="1" customWidth="1"/>
    <col min="15904" max="15904" width="15.140625" style="1" hidden="1" customWidth="1"/>
    <col min="15905" max="15916" width="0" style="1" hidden="1" customWidth="1"/>
    <col min="15917" max="15917" width="1.140625" style="1" hidden="1" customWidth="1"/>
    <col min="15918" max="15919" width="0" style="1" hidden="1" customWidth="1"/>
    <col min="15920" max="15920" width="9.140625" style="1" hidden="1" customWidth="1"/>
    <col min="15921" max="15922" width="0" style="1" hidden="1" customWidth="1"/>
    <col min="15923" max="15926" width="9.140625" style="1" hidden="1" customWidth="1"/>
    <col min="15927" max="15927" width="7.7109375" style="1" hidden="1" customWidth="1"/>
    <col min="15928" max="15943" width="9.140625" style="1" hidden="1" customWidth="1"/>
    <col min="15944" max="15944" width="8.42578125" style="1" hidden="1" customWidth="1"/>
    <col min="15945" max="15958" width="9.140625" style="1" hidden="1" customWidth="1"/>
    <col min="15959" max="15959" width="2.140625" style="1" hidden="1" customWidth="1"/>
    <col min="15960" max="15972" width="9.140625" style="1" hidden="1" customWidth="1"/>
    <col min="15973" max="15973" width="8.28515625" style="1" hidden="1" customWidth="1"/>
    <col min="15974" max="15976" width="9.140625" style="1" hidden="1" customWidth="1"/>
    <col min="15977" max="15977" width="0.28515625" style="1" hidden="1" customWidth="1"/>
    <col min="15978" max="15991" width="9.140625" style="1" hidden="1" customWidth="1"/>
    <col min="15992" max="15992" width="5.7109375" style="1" hidden="1" customWidth="1"/>
    <col min="15993" max="16002" width="9.140625" style="1" hidden="1" customWidth="1"/>
    <col min="16003" max="16003" width="1.140625" style="1" hidden="1" customWidth="1"/>
    <col min="16004" max="16015" width="9.140625" style="1" hidden="1" customWidth="1"/>
    <col min="16016" max="16016" width="2.85546875" style="1" hidden="1" customWidth="1"/>
    <col min="16017" max="16030" width="9.140625" style="1" hidden="1" customWidth="1"/>
    <col min="16031" max="16031" width="8.5703125" style="1" hidden="1" customWidth="1"/>
    <col min="16032" max="16034" width="9.140625" style="1" hidden="1" customWidth="1"/>
    <col min="16035" max="16035" width="3.7109375" style="1" hidden="1" customWidth="1"/>
    <col min="16036" max="16047" width="9.140625" style="1" hidden="1" customWidth="1"/>
    <col min="16048" max="16048" width="2.7109375" style="1" hidden="1" customWidth="1"/>
    <col min="16049" max="16059" width="9.140625" style="1" hidden="1" customWidth="1"/>
    <col min="16060" max="16060" width="7.7109375" style="1" hidden="1" customWidth="1"/>
    <col min="16061" max="16070" width="9.140625" style="1" hidden="1" customWidth="1"/>
    <col min="16071" max="16071" width="1.7109375" style="1" hidden="1" customWidth="1"/>
    <col min="16072" max="16082" width="9.140625" style="1" hidden="1" customWidth="1"/>
    <col min="16083" max="16083" width="0.7109375" style="1" hidden="1" customWidth="1"/>
    <col min="16084" max="16088" width="9.140625" style="1" hidden="1" customWidth="1"/>
    <col min="16089" max="16089" width="8.7109375" style="1" hidden="1" customWidth="1"/>
    <col min="16090" max="16096" width="9.140625" style="1" hidden="1" customWidth="1"/>
    <col min="16097" max="16097" width="0.140625" style="1" hidden="1" customWidth="1"/>
    <col min="16098" max="16110" width="9.140625" style="1" hidden="1" customWidth="1"/>
    <col min="16111" max="16111" width="1.42578125" style="1" hidden="1" customWidth="1"/>
    <col min="16112" max="16118" width="9.140625" style="1" hidden="1" customWidth="1"/>
    <col min="16119" max="16119" width="0.7109375" style="1" hidden="1" customWidth="1"/>
    <col min="16120" max="16124" width="9.140625" style="1" hidden="1" customWidth="1"/>
    <col min="16125" max="16125" width="7.85546875" style="1" hidden="1" customWidth="1"/>
    <col min="16126" max="16132" width="9.140625" style="1" hidden="1" customWidth="1"/>
    <col min="16133" max="16133" width="1.85546875" style="1" hidden="1" customWidth="1"/>
    <col min="16134" max="16140" width="9.140625" style="1" hidden="1" customWidth="1"/>
    <col min="16141" max="16141" width="9.42578125" style="1" hidden="1" customWidth="1"/>
    <col min="16142" max="16142" width="55.140625" style="1" hidden="1" customWidth="1"/>
    <col min="16143" max="16145" width="7.7109375" style="1" hidden="1" customWidth="1"/>
    <col min="16146" max="16146" width="3.140625" style="1" hidden="1" customWidth="1"/>
    <col min="16147" max="16148" width="7.7109375" style="1" hidden="1" customWidth="1"/>
    <col min="16149" max="16149" width="20.42578125" style="1" hidden="1" customWidth="1"/>
    <col min="16150" max="16150" width="37.42578125" style="1" hidden="1" customWidth="1"/>
    <col min="16151" max="16151" width="0" style="1" hidden="1" customWidth="1"/>
    <col min="16152" max="16152" width="27" style="1" hidden="1" customWidth="1"/>
    <col min="16153" max="16153" width="16.42578125" style="1" hidden="1" customWidth="1"/>
    <col min="16154" max="16154" width="0" style="1" hidden="1" customWidth="1"/>
    <col min="16155" max="16155" width="15.140625" style="1" hidden="1" customWidth="1"/>
    <col min="16156" max="16156" width="16.42578125" style="1" hidden="1" customWidth="1"/>
    <col min="16157" max="16157" width="16.5703125" style="1" hidden="1" customWidth="1"/>
    <col min="16158" max="16158" width="14.42578125" style="1" hidden="1" customWidth="1"/>
    <col min="16159" max="16159" width="16.5703125" style="1" hidden="1" customWidth="1"/>
    <col min="16160" max="16160" width="15.140625" style="1" hidden="1" customWidth="1"/>
    <col min="16161" max="16172" width="0" style="1" hidden="1" customWidth="1"/>
    <col min="16173" max="16173" width="9.140625" style="1" hidden="1" customWidth="1"/>
    <col min="16174" max="16175" width="0" style="1" hidden="1" customWidth="1"/>
    <col min="16176" max="16176" width="9.140625" style="1" hidden="1" customWidth="1"/>
    <col min="16177" max="16178" width="0" style="1" hidden="1" customWidth="1"/>
    <col min="16179" max="16180" width="9.140625" style="1" hidden="1" customWidth="1"/>
    <col min="16181" max="16384" width="9.140625" style="1" customWidth="1"/>
  </cols>
  <sheetData>
    <row r="1" spans="1:57" ht="28.15" customHeight="1" x14ac:dyDescent="0.3">
      <c r="O1" s="328" t="s">
        <v>251</v>
      </c>
      <c r="P1" s="328"/>
      <c r="Q1" s="328"/>
      <c r="R1" s="152"/>
      <c r="S1" s="169"/>
      <c r="T1" s="152"/>
      <c r="U1" s="152"/>
      <c r="V1" s="152"/>
    </row>
    <row r="2" spans="1:57" ht="21.75" customHeight="1" x14ac:dyDescent="0.3">
      <c r="E2" s="2"/>
      <c r="O2" s="328" t="s">
        <v>248</v>
      </c>
      <c r="P2" s="328"/>
      <c r="Q2" s="328"/>
      <c r="R2" s="152"/>
      <c r="S2" s="169"/>
      <c r="T2" s="152"/>
      <c r="U2" s="152"/>
      <c r="V2" s="152"/>
    </row>
    <row r="3" spans="1:57" ht="19.5" customHeight="1" x14ac:dyDescent="0.3">
      <c r="O3" s="328" t="s">
        <v>252</v>
      </c>
      <c r="P3" s="328"/>
      <c r="Q3" s="328"/>
      <c r="R3" s="152"/>
      <c r="S3" s="169"/>
      <c r="T3" s="152"/>
      <c r="U3" s="152"/>
      <c r="V3" s="152"/>
    </row>
    <row r="4" spans="1:57" ht="20.25" customHeight="1" x14ac:dyDescent="0.3">
      <c r="O4" s="3"/>
      <c r="P4" s="3"/>
      <c r="Q4" s="3"/>
      <c r="R4" s="3"/>
      <c r="S4" s="3"/>
      <c r="T4" s="3"/>
      <c r="U4" s="3"/>
      <c r="V4" s="3"/>
    </row>
    <row r="5" spans="1:57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329" t="s">
        <v>162</v>
      </c>
      <c r="P5" s="330"/>
      <c r="Q5" s="330"/>
      <c r="R5" s="153"/>
      <c r="S5" s="170"/>
      <c r="T5" s="153"/>
      <c r="U5" s="153"/>
      <c r="V5" s="153"/>
    </row>
    <row r="6" spans="1:57" ht="20.25" customHeight="1" x14ac:dyDescent="0.3">
      <c r="A6" s="4"/>
      <c r="B6" s="4"/>
      <c r="C6" s="4"/>
      <c r="D6" s="4"/>
      <c r="L6" s="7"/>
      <c r="N6" s="8"/>
      <c r="O6" s="329" t="s">
        <v>155</v>
      </c>
      <c r="P6" s="330"/>
      <c r="Q6" s="330"/>
      <c r="R6" s="153"/>
      <c r="S6" s="170"/>
      <c r="T6" s="153"/>
      <c r="U6" s="153"/>
      <c r="V6" s="153"/>
    </row>
    <row r="7" spans="1:57" s="69" customFormat="1" ht="20.25" customHeight="1" x14ac:dyDescent="0.3">
      <c r="A7" s="331" t="s">
        <v>0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  <c r="N7" s="333"/>
      <c r="O7" s="333"/>
      <c r="P7" s="333"/>
      <c r="Q7" s="333"/>
      <c r="R7" s="171"/>
      <c r="S7" s="171"/>
      <c r="T7" s="171"/>
      <c r="U7" s="171"/>
      <c r="V7" s="171"/>
      <c r="AB7" s="70">
        <f>2541647.2+21464.3</f>
        <v>2563111.5</v>
      </c>
      <c r="AC7" s="71"/>
      <c r="AD7" s="71"/>
      <c r="AE7" s="71"/>
      <c r="AF7" s="71"/>
      <c r="AG7" s="71"/>
    </row>
    <row r="8" spans="1:57" ht="13.9" customHeight="1" x14ac:dyDescent="0.25">
      <c r="B8" s="346"/>
      <c r="C8" s="346"/>
      <c r="D8" s="346"/>
      <c r="E8" s="346"/>
      <c r="F8" s="346"/>
      <c r="G8" s="346"/>
      <c r="H8" s="34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57" ht="18" customHeight="1" x14ac:dyDescent="0.25">
      <c r="A9" s="347" t="s">
        <v>1</v>
      </c>
      <c r="B9" s="349" t="s">
        <v>126</v>
      </c>
      <c r="C9" s="351" t="s">
        <v>2</v>
      </c>
      <c r="D9" s="349" t="s">
        <v>3</v>
      </c>
      <c r="E9" s="291" t="s">
        <v>165</v>
      </c>
      <c r="F9" s="292"/>
      <c r="G9" s="292"/>
      <c r="H9" s="292"/>
      <c r="I9" s="292"/>
      <c r="J9" s="292"/>
      <c r="K9" s="292"/>
      <c r="L9" s="292"/>
      <c r="M9" s="293"/>
      <c r="N9" s="293"/>
      <c r="O9" s="293"/>
      <c r="P9" s="293"/>
      <c r="Q9" s="293"/>
      <c r="R9" s="294"/>
      <c r="S9" s="174"/>
      <c r="T9" s="97"/>
      <c r="U9" s="96">
        <f>O14-O22</f>
        <v>4704319.5</v>
      </c>
      <c r="V9" s="96">
        <v>4428533.0999999996</v>
      </c>
      <c r="W9" s="75">
        <f>V9-U9</f>
        <v>-275786.40000000037</v>
      </c>
    </row>
    <row r="10" spans="1:57" ht="97.5" customHeight="1" x14ac:dyDescent="0.25">
      <c r="A10" s="348"/>
      <c r="B10" s="350"/>
      <c r="C10" s="352"/>
      <c r="D10" s="350"/>
      <c r="E10" s="103" t="s">
        <v>4</v>
      </c>
      <c r="F10" s="110" t="s">
        <v>5</v>
      </c>
      <c r="G10" s="110" t="s">
        <v>208</v>
      </c>
      <c r="H10" s="110" t="s">
        <v>209</v>
      </c>
      <c r="I10" s="110" t="s">
        <v>6</v>
      </c>
      <c r="J10" s="110" t="s">
        <v>7</v>
      </c>
      <c r="K10" s="110" t="s">
        <v>8</v>
      </c>
      <c r="L10" s="110" t="s">
        <v>178</v>
      </c>
      <c r="M10" s="110" t="s">
        <v>184</v>
      </c>
      <c r="N10" s="110" t="s">
        <v>134</v>
      </c>
      <c r="O10" s="181" t="s">
        <v>135</v>
      </c>
      <c r="P10" s="256" t="s">
        <v>136</v>
      </c>
      <c r="Q10" s="256" t="s">
        <v>137</v>
      </c>
      <c r="R10" s="256" t="s">
        <v>225</v>
      </c>
      <c r="S10" s="173"/>
      <c r="T10" s="101" t="s">
        <v>237</v>
      </c>
      <c r="U10" s="102" t="s">
        <v>234</v>
      </c>
      <c r="V10" s="101" t="s">
        <v>214</v>
      </c>
      <c r="Y10" s="2">
        <f>J15+J16+J19</f>
        <v>2894796.5</v>
      </c>
    </row>
    <row r="11" spans="1:57" x14ac:dyDescent="0.25">
      <c r="A11" s="9">
        <v>1</v>
      </c>
      <c r="B11" s="9">
        <v>2</v>
      </c>
      <c r="C11" s="9">
        <v>3</v>
      </c>
      <c r="D11" s="9">
        <v>3</v>
      </c>
      <c r="E11" s="103">
        <v>4</v>
      </c>
      <c r="F11" s="110" t="s">
        <v>9</v>
      </c>
      <c r="G11" s="110" t="s">
        <v>9</v>
      </c>
      <c r="H11" s="110" t="s">
        <v>10</v>
      </c>
      <c r="I11" s="110" t="s">
        <v>11</v>
      </c>
      <c r="J11" s="110" t="s">
        <v>12</v>
      </c>
      <c r="K11" s="110" t="s">
        <v>13</v>
      </c>
      <c r="L11" s="110" t="s">
        <v>14</v>
      </c>
      <c r="M11" s="110" t="s">
        <v>124</v>
      </c>
      <c r="N11" s="110" t="s">
        <v>138</v>
      </c>
      <c r="O11" s="110" t="s">
        <v>139</v>
      </c>
      <c r="P11" s="110" t="s">
        <v>140</v>
      </c>
      <c r="Q11" s="110" t="s">
        <v>141</v>
      </c>
      <c r="R11" s="110" t="s">
        <v>229</v>
      </c>
      <c r="S11" s="173"/>
      <c r="T11" s="111"/>
      <c r="U11" s="111"/>
      <c r="V11" s="111"/>
      <c r="AA11" s="1">
        <v>18</v>
      </c>
      <c r="BC11" s="2"/>
    </row>
    <row r="12" spans="1:57" hidden="1" x14ac:dyDescent="0.25">
      <c r="A12" s="10"/>
      <c r="B12" s="11"/>
      <c r="C12" s="11"/>
      <c r="D12" s="11"/>
      <c r="E12" s="12"/>
      <c r="F12" s="111"/>
      <c r="G12" s="13" t="s">
        <v>189</v>
      </c>
      <c r="H12" s="111"/>
      <c r="I12" s="111"/>
      <c r="J12" s="111"/>
      <c r="K12" s="111"/>
      <c r="L12" s="111"/>
      <c r="M12" s="111"/>
      <c r="N12" s="111"/>
      <c r="O12" s="111"/>
      <c r="P12" s="111"/>
      <c r="Q12" s="72"/>
      <c r="R12" s="110"/>
      <c r="S12" s="173"/>
      <c r="T12" s="111"/>
      <c r="U12" s="111"/>
      <c r="V12" s="111"/>
    </row>
    <row r="13" spans="1:57" ht="4.9000000000000004" hidden="1" customHeight="1" x14ac:dyDescent="0.25">
      <c r="A13" s="10"/>
      <c r="B13" s="11"/>
      <c r="C13" s="11"/>
      <c r="D13" s="11"/>
      <c r="E13" s="12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72"/>
      <c r="R13" s="110"/>
      <c r="S13" s="173"/>
      <c r="T13" s="111"/>
      <c r="U13" s="111"/>
      <c r="V13" s="111"/>
    </row>
    <row r="14" spans="1:57" ht="26.85" customHeight="1" x14ac:dyDescent="0.25">
      <c r="A14" s="342" t="s">
        <v>15</v>
      </c>
      <c r="B14" s="345" t="s">
        <v>151</v>
      </c>
      <c r="C14" s="290" t="s">
        <v>16</v>
      </c>
      <c r="D14" s="14" t="s">
        <v>4</v>
      </c>
      <c r="E14" s="15">
        <f>SUM(F14:R14)</f>
        <v>47653746.299999997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0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4710653.7</v>
      </c>
      <c r="P14" s="16">
        <f t="shared" si="0"/>
        <v>5570697.7000000002</v>
      </c>
      <c r="Q14" s="16">
        <f t="shared" si="0"/>
        <v>5531215.7999999998</v>
      </c>
      <c r="R14" s="16">
        <f t="shared" si="0"/>
        <v>5656734.0000000009</v>
      </c>
      <c r="S14" s="82">
        <f>G14+H14+I14+J14+K14+L14+M14+N14+O14+P14+Q14+R14</f>
        <v>47653746.299999997</v>
      </c>
      <c r="T14" s="82">
        <f>Q14-R14</f>
        <v>-125518.20000000112</v>
      </c>
      <c r="U14" s="180">
        <f>U15+U16+U19+U22</f>
        <v>4710653.7</v>
      </c>
      <c r="V14" s="82">
        <f>V15+V16+V19+V22</f>
        <v>0</v>
      </c>
      <c r="X14" s="2">
        <f>N23+N360+N430</f>
        <v>5094166.6999999993</v>
      </c>
      <c r="AC14" s="1">
        <v>17</v>
      </c>
      <c r="AE14" s="1">
        <v>19</v>
      </c>
      <c r="AG14" s="1">
        <v>20</v>
      </c>
      <c r="AI14" s="1">
        <v>21</v>
      </c>
      <c r="AK14" s="74">
        <v>22</v>
      </c>
      <c r="AM14" s="74">
        <v>23</v>
      </c>
      <c r="AN14" s="74"/>
      <c r="AO14" s="202">
        <v>24</v>
      </c>
      <c r="AP14" s="202"/>
      <c r="AQ14" s="202">
        <v>25</v>
      </c>
      <c r="AR14" s="202"/>
      <c r="AS14" s="203"/>
      <c r="AT14" s="202">
        <v>26</v>
      </c>
      <c r="AV14" s="2">
        <f>J16+J19+J15</f>
        <v>2894796.5</v>
      </c>
      <c r="AW14" s="2">
        <f>K16+K19+K15</f>
        <v>3030825.5</v>
      </c>
      <c r="AY14" s="1">
        <v>2016</v>
      </c>
      <c r="AZ14" s="1">
        <v>2017</v>
      </c>
      <c r="BC14" s="2"/>
      <c r="BD14" s="2"/>
      <c r="BE14" s="2"/>
    </row>
    <row r="15" spans="1:57" ht="29.45" customHeight="1" x14ac:dyDescent="0.25">
      <c r="A15" s="343"/>
      <c r="B15" s="285"/>
      <c r="C15" s="288"/>
      <c r="D15" s="17" t="s">
        <v>17</v>
      </c>
      <c r="E15" s="18">
        <f>SUM(F15:R15)</f>
        <v>2960333.9000000004</v>
      </c>
      <c r="F15" s="19">
        <f>F24+F361+F431</f>
        <v>0</v>
      </c>
      <c r="G15" s="19">
        <f t="shared" ref="G15:L15" si="1">G24</f>
        <v>740</v>
      </c>
      <c r="H15" s="19">
        <f>H24</f>
        <v>1419.6</v>
      </c>
      <c r="I15" s="19">
        <f t="shared" si="1"/>
        <v>1587.6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ref="M15:R15" si="2">M24</f>
        <v>0</v>
      </c>
      <c r="N15" s="19">
        <f t="shared" si="2"/>
        <v>996100.2</v>
      </c>
      <c r="O15" s="19">
        <f t="shared" si="2"/>
        <v>381520.99999999994</v>
      </c>
      <c r="P15" s="19">
        <f t="shared" si="2"/>
        <v>989933.3</v>
      </c>
      <c r="Q15" s="19">
        <f t="shared" si="2"/>
        <v>294762.09999999998</v>
      </c>
      <c r="R15" s="19">
        <f t="shared" si="2"/>
        <v>294270.09999999998</v>
      </c>
      <c r="S15" s="36"/>
      <c r="T15" s="36"/>
      <c r="U15" s="36">
        <v>381521</v>
      </c>
      <c r="V15" s="36">
        <f>U15-O15</f>
        <v>0</v>
      </c>
      <c r="W15" s="75">
        <v>2681147.5</v>
      </c>
      <c r="AA15" s="7">
        <f>J15+J16+J19</f>
        <v>2894796.5</v>
      </c>
      <c r="AH15" s="2"/>
      <c r="AI15" s="2"/>
      <c r="AW15" s="73"/>
      <c r="AY15" s="2">
        <f>H15+H16+H19</f>
        <v>2140580.5</v>
      </c>
      <c r="AZ15" s="2">
        <f>I15+I16+I19</f>
        <v>2060056</v>
      </c>
    </row>
    <row r="16" spans="1:57" ht="24.4" customHeight="1" x14ac:dyDescent="0.25">
      <c r="A16" s="343"/>
      <c r="B16" s="285"/>
      <c r="C16" s="288"/>
      <c r="D16" s="17" t="s">
        <v>18</v>
      </c>
      <c r="E16" s="18">
        <f>SUM(F16:R16)</f>
        <v>28201567.899999999</v>
      </c>
      <c r="F16" s="19">
        <f>F25+F362+F432</f>
        <v>0</v>
      </c>
      <c r="G16" s="19">
        <f t="shared" ref="G16:P16" si="3">G25+G362+G432</f>
        <v>1123706.8</v>
      </c>
      <c r="H16" s="19">
        <f t="shared" si="3"/>
        <v>1235277.7</v>
      </c>
      <c r="I16" s="19">
        <f t="shared" si="3"/>
        <v>1221163.5999999999</v>
      </c>
      <c r="J16" s="19">
        <f t="shared" si="3"/>
        <v>1824613.7</v>
      </c>
      <c r="K16" s="19">
        <f t="shared" si="3"/>
        <v>1654550.9</v>
      </c>
      <c r="L16" s="19">
        <f t="shared" si="3"/>
        <v>2436667.5999999996</v>
      </c>
      <c r="M16" s="19">
        <f t="shared" si="3"/>
        <v>3526122.2</v>
      </c>
      <c r="N16" s="19">
        <f t="shared" si="3"/>
        <v>2604864.1999999997</v>
      </c>
      <c r="O16" s="19">
        <f t="shared" si="3"/>
        <v>2667654.5</v>
      </c>
      <c r="P16" s="19">
        <f t="shared" si="3"/>
        <v>2712764.1999999997</v>
      </c>
      <c r="Q16" s="19">
        <f>Q25+Q362+Q432</f>
        <v>3519991.2999999993</v>
      </c>
      <c r="R16" s="19">
        <f>R25+R362+R432</f>
        <v>3674191.2</v>
      </c>
      <c r="S16" s="36"/>
      <c r="T16" s="36"/>
      <c r="U16" s="179">
        <v>2667654.5</v>
      </c>
      <c r="V16" s="36">
        <f>U16-O16</f>
        <v>0</v>
      </c>
      <c r="W16" s="2">
        <f>Q15+Q16</f>
        <v>3814753.3999999994</v>
      </c>
      <c r="X16" s="2">
        <f>W15-W16</f>
        <v>-1133605.8999999994</v>
      </c>
      <c r="AC16" s="2">
        <f>I16+I19+I20+I15</f>
        <v>2060056</v>
      </c>
      <c r="AE16" s="7">
        <f>K16+K19+K20+K15</f>
        <v>3030825.5</v>
      </c>
      <c r="AF16" s="74"/>
      <c r="AG16" s="7">
        <f>SUM(L15:L19)</f>
        <v>3966159.5999999987</v>
      </c>
      <c r="AI16" s="7">
        <f>M15+M16+M19</f>
        <v>5023061.9000000004</v>
      </c>
      <c r="AK16" s="7">
        <f>N16+N19+N15</f>
        <v>5089333.5</v>
      </c>
      <c r="AM16" s="7">
        <f>O16+O19+O15</f>
        <v>4704319.5</v>
      </c>
      <c r="AO16" s="7">
        <f>P16+P19+P15</f>
        <v>5563868.4999999991</v>
      </c>
      <c r="AQ16" s="7">
        <f>Q16+Q19+Q15</f>
        <v>5524084.0999999996</v>
      </c>
      <c r="AT16" s="7">
        <f>R15+R16+R19</f>
        <v>5649317.6000000006</v>
      </c>
      <c r="BC16" s="2"/>
    </row>
    <row r="17" spans="1:55" ht="48.4" hidden="1" customHeight="1" x14ac:dyDescent="0.25">
      <c r="A17" s="343"/>
      <c r="B17" s="285"/>
      <c r="C17" s="288"/>
      <c r="D17" s="17" t="s">
        <v>181</v>
      </c>
      <c r="E17" s="18">
        <f>SUM(F17:Q17)</f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36"/>
      <c r="W17" s="2"/>
      <c r="X17" s="2"/>
      <c r="AC17" s="2"/>
      <c r="AE17" s="7"/>
      <c r="AF17" s="74"/>
      <c r="AG17" s="7"/>
      <c r="AI17" s="7"/>
      <c r="AK17" s="7"/>
      <c r="AM17" s="7"/>
      <c r="AO17" s="7"/>
      <c r="AQ17" s="7"/>
    </row>
    <row r="18" spans="1:55" ht="48.4" customHeight="1" x14ac:dyDescent="0.25">
      <c r="A18" s="343"/>
      <c r="B18" s="285"/>
      <c r="C18" s="288"/>
      <c r="D18" s="17" t="s">
        <v>181</v>
      </c>
      <c r="E18" s="18">
        <f>SUM(F18:Q18)</f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36"/>
      <c r="W18" s="2"/>
      <c r="X18" s="2"/>
      <c r="AC18" s="2"/>
      <c r="AE18" s="7"/>
      <c r="AF18" s="74"/>
      <c r="AG18" s="7"/>
      <c r="AI18" s="7"/>
      <c r="AK18" s="7"/>
      <c r="AM18" s="7"/>
      <c r="AO18" s="7"/>
      <c r="AQ18" s="7"/>
    </row>
    <row r="19" spans="1:55" ht="23.85" customHeight="1" x14ac:dyDescent="0.25">
      <c r="A19" s="343"/>
      <c r="B19" s="285"/>
      <c r="C19" s="288"/>
      <c r="D19" s="17" t="s">
        <v>19</v>
      </c>
      <c r="E19" s="18">
        <f t="shared" ref="E19:E24" si="4">SUM(F19:R19)</f>
        <v>16433402.300000001</v>
      </c>
      <c r="F19" s="19">
        <f t="shared" ref="F19:R19" si="5">F28+F363+F433</f>
        <v>0</v>
      </c>
      <c r="G19" s="19">
        <f t="shared" si="5"/>
        <v>824454.09999999986</v>
      </c>
      <c r="H19" s="19">
        <f t="shared" si="5"/>
        <v>903883.2</v>
      </c>
      <c r="I19" s="19">
        <f t="shared" si="5"/>
        <v>837304.79999999993</v>
      </c>
      <c r="J19" s="19">
        <f t="shared" si="5"/>
        <v>1070182.8</v>
      </c>
      <c r="K19" s="19">
        <f t="shared" si="5"/>
        <v>1376274.6000000003</v>
      </c>
      <c r="L19" s="19">
        <f t="shared" si="5"/>
        <v>1529491.9999999993</v>
      </c>
      <c r="M19" s="19">
        <f t="shared" si="5"/>
        <v>1496939.7000000002</v>
      </c>
      <c r="N19" s="19">
        <f t="shared" si="5"/>
        <v>1488369.1000000003</v>
      </c>
      <c r="O19" s="19">
        <f t="shared" si="5"/>
        <v>1655143.9999999998</v>
      </c>
      <c r="P19" s="19">
        <f t="shared" si="5"/>
        <v>1861171</v>
      </c>
      <c r="Q19" s="19">
        <f t="shared" si="5"/>
        <v>1709330.7000000002</v>
      </c>
      <c r="R19" s="19">
        <f t="shared" si="5"/>
        <v>1680856.3</v>
      </c>
      <c r="S19" s="36"/>
      <c r="T19" s="36"/>
      <c r="U19" s="36">
        <v>1655144</v>
      </c>
      <c r="V19" s="36">
        <f>U19-O19</f>
        <v>0</v>
      </c>
      <c r="W19" s="2">
        <v>1497639.5</v>
      </c>
      <c r="X19" s="2"/>
      <c r="AV19" s="75"/>
      <c r="BC19" s="2"/>
    </row>
    <row r="20" spans="1:55" ht="58.7" customHeight="1" x14ac:dyDescent="0.25">
      <c r="A20" s="343"/>
      <c r="B20" s="285"/>
      <c r="C20" s="288"/>
      <c r="D20" s="17" t="s">
        <v>20</v>
      </c>
      <c r="E20" s="18">
        <f t="shared" si="4"/>
        <v>43789.9</v>
      </c>
      <c r="F20" s="19"/>
      <c r="G20" s="19">
        <f t="shared" ref="G20:Q20" si="6">G29+G434</f>
        <v>43789.9</v>
      </c>
      <c r="H20" s="19">
        <f t="shared" si="6"/>
        <v>0</v>
      </c>
      <c r="I20" s="19">
        <f t="shared" si="6"/>
        <v>0</v>
      </c>
      <c r="J20" s="19">
        <f t="shared" si="6"/>
        <v>0</v>
      </c>
      <c r="K20" s="19">
        <f t="shared" si="6"/>
        <v>0</v>
      </c>
      <c r="L20" s="19">
        <f t="shared" si="6"/>
        <v>0</v>
      </c>
      <c r="M20" s="19">
        <f t="shared" si="6"/>
        <v>0</v>
      </c>
      <c r="N20" s="19">
        <f t="shared" si="6"/>
        <v>0</v>
      </c>
      <c r="O20" s="19">
        <f t="shared" si="6"/>
        <v>0</v>
      </c>
      <c r="P20" s="19">
        <f t="shared" si="6"/>
        <v>0</v>
      </c>
      <c r="Q20" s="19">
        <f t="shared" si="6"/>
        <v>0</v>
      </c>
      <c r="R20" s="19">
        <f>R29+R434</f>
        <v>0</v>
      </c>
      <c r="S20" s="36"/>
      <c r="T20" s="36"/>
      <c r="U20" s="36"/>
      <c r="V20" s="36"/>
      <c r="W20" s="2"/>
      <c r="X20" s="2"/>
      <c r="AC20" s="2">
        <v>4955.1000000000004</v>
      </c>
      <c r="AF20" s="75"/>
      <c r="AG20" s="75">
        <f>3429892.8+535967+299.7</f>
        <v>3966159.5</v>
      </c>
      <c r="AI20" s="75">
        <f>10104.5+170850.4+110+340.6+4816481.7</f>
        <v>4997887.2</v>
      </c>
      <c r="AJ20" s="75"/>
      <c r="AK20" s="75">
        <f>996100.2+2604864.2+1488366.5+2.6</f>
        <v>5089333.5</v>
      </c>
      <c r="AL20" s="75"/>
      <c r="AM20" s="75">
        <v>4704319.5</v>
      </c>
      <c r="AO20" s="205">
        <f>5526004.8+570+3677+29223.4+993.4</f>
        <v>5560468.6000000006</v>
      </c>
      <c r="AQ20" s="204">
        <f>5524084.1-3284.5+3284.5</f>
        <v>5524084.0999999996</v>
      </c>
      <c r="AS20" s="75"/>
      <c r="AT20" s="204">
        <f>5649317.6-3284.5+3284.5</f>
        <v>5649317.5999999996</v>
      </c>
    </row>
    <row r="21" spans="1:55" ht="58.7" customHeight="1" x14ac:dyDescent="0.25">
      <c r="A21" s="343"/>
      <c r="B21" s="285"/>
      <c r="C21" s="288"/>
      <c r="D21" s="17" t="s">
        <v>181</v>
      </c>
      <c r="E21" s="18">
        <f t="shared" si="4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36"/>
      <c r="W21" s="2"/>
      <c r="X21" s="2"/>
      <c r="AC21" s="2"/>
      <c r="AF21" s="75"/>
      <c r="AG21" s="75"/>
      <c r="AI21" s="75"/>
      <c r="AJ21" s="75"/>
      <c r="AK21" s="75"/>
      <c r="AL21" s="75"/>
      <c r="AM21" s="75"/>
      <c r="AO21" s="75" t="s">
        <v>191</v>
      </c>
    </row>
    <row r="22" spans="1:55" ht="33.4" customHeight="1" x14ac:dyDescent="0.25">
      <c r="A22" s="344"/>
      <c r="B22" s="286"/>
      <c r="C22" s="289"/>
      <c r="D22" s="17" t="s">
        <v>21</v>
      </c>
      <c r="E22" s="18">
        <f t="shared" si="4"/>
        <v>58442.2</v>
      </c>
      <c r="F22" s="20">
        <f t="shared" ref="F22:Q22" si="7">F31+F364+F435</f>
        <v>0</v>
      </c>
      <c r="G22" s="20">
        <f t="shared" si="7"/>
        <v>2657.3</v>
      </c>
      <c r="H22" s="20">
        <f t="shared" si="7"/>
        <v>3398</v>
      </c>
      <c r="I22" s="20">
        <f t="shared" si="7"/>
        <v>3476.1</v>
      </c>
      <c r="J22" s="20">
        <f t="shared" si="7"/>
        <v>3848.6</v>
      </c>
      <c r="K22" s="20">
        <f t="shared" si="7"/>
        <v>3946.4</v>
      </c>
      <c r="L22" s="20">
        <f t="shared" si="7"/>
        <v>4207.5</v>
      </c>
      <c r="M22" s="20">
        <f t="shared" si="7"/>
        <v>4363.6000000000004</v>
      </c>
      <c r="N22" s="20">
        <f t="shared" si="7"/>
        <v>4833.2</v>
      </c>
      <c r="O22" s="20">
        <f t="shared" si="7"/>
        <v>6334.2</v>
      </c>
      <c r="P22" s="20">
        <f t="shared" si="7"/>
        <v>6829.2</v>
      </c>
      <c r="Q22" s="20">
        <f t="shared" si="7"/>
        <v>7131.7</v>
      </c>
      <c r="R22" s="20">
        <f>R31+R364+R435</f>
        <v>7416.4</v>
      </c>
      <c r="S22" s="98"/>
      <c r="T22" s="98"/>
      <c r="U22" s="98">
        <v>6334.2</v>
      </c>
      <c r="V22" s="36">
        <f>U22-O22</f>
        <v>0</v>
      </c>
      <c r="W22" s="2"/>
      <c r="X22" s="2"/>
      <c r="AG22" s="75">
        <f>AG20-AG16</f>
        <v>-9.9999998696148396E-2</v>
      </c>
      <c r="AO22" s="75"/>
      <c r="BC22" s="2"/>
    </row>
    <row r="23" spans="1:55" ht="24" customHeight="1" x14ac:dyDescent="0.25">
      <c r="A23" s="342" t="s">
        <v>22</v>
      </c>
      <c r="B23" s="345" t="s">
        <v>23</v>
      </c>
      <c r="C23" s="290" t="s">
        <v>16</v>
      </c>
      <c r="D23" s="14" t="s">
        <v>4</v>
      </c>
      <c r="E23" s="15">
        <f t="shared" si="4"/>
        <v>45349986</v>
      </c>
      <c r="F23" s="16">
        <f>SUM(F24:F28)</f>
        <v>0</v>
      </c>
      <c r="G23" s="16">
        <f t="shared" ref="G23:Q23" si="8">SUM(G24:G31)-G29</f>
        <v>1818287.8</v>
      </c>
      <c r="H23" s="16">
        <f t="shared" si="8"/>
        <v>2004414.6</v>
      </c>
      <c r="I23" s="16">
        <f t="shared" si="8"/>
        <v>1919884</v>
      </c>
      <c r="J23" s="16">
        <f t="shared" si="8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4484008.3</v>
      </c>
      <c r="P23" s="16">
        <f>P25+P28+P31+P24</f>
        <v>5315874.9000000004</v>
      </c>
      <c r="Q23" s="16">
        <f t="shared" si="8"/>
        <v>5275006.3999999994</v>
      </c>
      <c r="R23" s="16">
        <f>SUM(R24:R31)-R29</f>
        <v>5393953.5000000009</v>
      </c>
      <c r="S23" s="82"/>
      <c r="T23" s="82"/>
      <c r="U23" s="82"/>
      <c r="V23" s="82"/>
      <c r="W23" s="2">
        <v>4907848.5999999996</v>
      </c>
      <c r="X23" s="2"/>
      <c r="AC23" s="2">
        <f>AC16+AC20</f>
        <v>2065011.1</v>
      </c>
      <c r="AI23" s="75">
        <f>AI16-AI20</f>
        <v>25174.700000000186</v>
      </c>
      <c r="AK23" s="75">
        <f>AK20-AK16</f>
        <v>0</v>
      </c>
      <c r="AM23" s="80">
        <f>AM16-AM20</f>
        <v>0</v>
      </c>
      <c r="AN23" s="74"/>
      <c r="AO23" s="80">
        <f>AO20-AO16</f>
        <v>-3399.8999999985099</v>
      </c>
      <c r="AP23" s="74"/>
      <c r="AQ23" s="80">
        <f>AQ20-AQ16</f>
        <v>0</v>
      </c>
      <c r="AT23" s="80">
        <f>AT20-AT16</f>
        <v>0</v>
      </c>
      <c r="BC23" s="2"/>
    </row>
    <row r="24" spans="1:55" ht="30.4" customHeight="1" x14ac:dyDescent="0.25">
      <c r="A24" s="343"/>
      <c r="B24" s="285"/>
      <c r="C24" s="288"/>
      <c r="D24" s="17" t="s">
        <v>17</v>
      </c>
      <c r="E24" s="18">
        <f t="shared" si="4"/>
        <v>2960333.9000000004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9">H33+H176</f>
        <v>1419.6</v>
      </c>
      <c r="I24" s="19">
        <f t="shared" si="9"/>
        <v>1587.6</v>
      </c>
      <c r="J24" s="19">
        <f t="shared" si="9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>O33+O176+O302+O317+O341</f>
        <v>381520.99999999994</v>
      </c>
      <c r="P24" s="19">
        <f t="shared" ref="P24:R25" si="10">P33+P176+P302+P317+P341+P351</f>
        <v>989933.3</v>
      </c>
      <c r="Q24" s="19">
        <f t="shared" si="10"/>
        <v>294762.09999999998</v>
      </c>
      <c r="R24" s="19">
        <f t="shared" si="10"/>
        <v>294270.09999999998</v>
      </c>
      <c r="S24" s="36"/>
      <c r="T24" s="36"/>
      <c r="U24" s="36"/>
      <c r="V24" s="36"/>
      <c r="W24" s="2"/>
      <c r="X24" s="2"/>
      <c r="BC24" s="2"/>
    </row>
    <row r="25" spans="1:55" ht="33.4" customHeight="1" x14ac:dyDescent="0.25">
      <c r="A25" s="343"/>
      <c r="B25" s="285"/>
      <c r="C25" s="288"/>
      <c r="D25" s="17" t="s">
        <v>18</v>
      </c>
      <c r="E25" s="18">
        <f>SUM(F25:R26)</f>
        <v>27279269.699999999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9"/>
        <v>1169846.3999999999</v>
      </c>
      <c r="I25" s="19">
        <f t="shared" si="9"/>
        <v>1154150.2</v>
      </c>
      <c r="J25" s="19">
        <f t="shared" si="9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>O34+O177+O303+O318+O342</f>
        <v>2582740.7000000002</v>
      </c>
      <c r="P25" s="19">
        <f t="shared" si="10"/>
        <v>2624456.9</v>
      </c>
      <c r="Q25" s="19">
        <f t="shared" si="10"/>
        <v>3428190.9999999995</v>
      </c>
      <c r="R25" s="19">
        <f t="shared" si="10"/>
        <v>3582330.7</v>
      </c>
      <c r="S25" s="36"/>
      <c r="T25" s="36"/>
      <c r="U25" s="36"/>
      <c r="V25" s="36"/>
      <c r="W25" s="2">
        <v>3535437.2</v>
      </c>
      <c r="X25" s="2"/>
      <c r="BC25" s="2"/>
    </row>
    <row r="26" spans="1:55" ht="1.35" hidden="1" customHeight="1" x14ac:dyDescent="0.25">
      <c r="A26" s="343"/>
      <c r="B26" s="285"/>
      <c r="C26" s="288"/>
      <c r="D26" s="17" t="s">
        <v>181</v>
      </c>
      <c r="E26" s="18">
        <f>SUM(F26:Q26)</f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36"/>
      <c r="W26" s="2"/>
      <c r="X26" s="2"/>
    </row>
    <row r="27" spans="1:55" ht="54.95" customHeight="1" x14ac:dyDescent="0.25">
      <c r="A27" s="343"/>
      <c r="B27" s="285"/>
      <c r="C27" s="288"/>
      <c r="D27" s="17" t="s">
        <v>181</v>
      </c>
      <c r="E27" s="18">
        <f t="shared" ref="E27:E42" si="11">SUM(F27:R27)</f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36"/>
      <c r="W27" s="2"/>
      <c r="X27" s="2"/>
    </row>
    <row r="28" spans="1:55" ht="21.6" customHeight="1" x14ac:dyDescent="0.25">
      <c r="A28" s="343"/>
      <c r="B28" s="285"/>
      <c r="C28" s="288"/>
      <c r="D28" s="17" t="s">
        <v>19</v>
      </c>
      <c r="E28" s="18">
        <f t="shared" si="11"/>
        <v>15051940.200000001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>L35+L178+L299+L306+L320</f>
        <v>1427156.7999999993</v>
      </c>
      <c r="M28" s="19">
        <f>M35+M178+M299+M306+M320</f>
        <v>1374194.3</v>
      </c>
      <c r="N28" s="19">
        <f>N35+N178+N299+N306+N320</f>
        <v>1366642.5000000002</v>
      </c>
      <c r="O28" s="19">
        <f>O35+O178+O299+O306+O320</f>
        <v>1513412.4</v>
      </c>
      <c r="P28" s="19">
        <f>P35+P178+P299+P306+P320+P353</f>
        <v>1694655.5</v>
      </c>
      <c r="Q28" s="19">
        <f>Q35+Q178+Q299+Q306+Q320+Q353</f>
        <v>1544921.6</v>
      </c>
      <c r="R28" s="19">
        <f>R35+R178+R299+R306+R320+R353</f>
        <v>1509936.3</v>
      </c>
      <c r="S28" s="36"/>
      <c r="T28" s="36"/>
      <c r="U28" s="36"/>
      <c r="V28" s="36"/>
      <c r="W28" s="2">
        <v>1368047.8</v>
      </c>
      <c r="X28" s="2"/>
      <c r="BC28" s="2"/>
    </row>
    <row r="29" spans="1:55" ht="56.25" customHeight="1" x14ac:dyDescent="0.25">
      <c r="A29" s="343"/>
      <c r="B29" s="285"/>
      <c r="C29" s="288"/>
      <c r="D29" s="17" t="s">
        <v>20</v>
      </c>
      <c r="E29" s="18">
        <f t="shared" si="11"/>
        <v>43751.3</v>
      </c>
      <c r="F29" s="19"/>
      <c r="G29" s="19">
        <f>G72+G206+G218</f>
        <v>43751.3</v>
      </c>
      <c r="H29" s="19">
        <f t="shared" ref="H29:Q29" si="12">H72+H206</f>
        <v>0</v>
      </c>
      <c r="I29" s="19">
        <f t="shared" si="12"/>
        <v>0</v>
      </c>
      <c r="J29" s="19">
        <f t="shared" si="12"/>
        <v>0</v>
      </c>
      <c r="K29" s="19">
        <f t="shared" si="12"/>
        <v>0</v>
      </c>
      <c r="L29" s="19">
        <f t="shared" si="12"/>
        <v>0</v>
      </c>
      <c r="M29" s="19">
        <f t="shared" si="12"/>
        <v>0</v>
      </c>
      <c r="N29" s="19">
        <f t="shared" si="12"/>
        <v>0</v>
      </c>
      <c r="O29" s="19">
        <f t="shared" si="12"/>
        <v>0</v>
      </c>
      <c r="P29" s="19">
        <f t="shared" si="12"/>
        <v>0</v>
      </c>
      <c r="Q29" s="19">
        <f t="shared" si="12"/>
        <v>0</v>
      </c>
      <c r="R29" s="19">
        <f>R72+R206</f>
        <v>0</v>
      </c>
      <c r="S29" s="36"/>
      <c r="T29" s="36"/>
      <c r="U29" s="36"/>
      <c r="V29" s="36"/>
      <c r="W29" s="2"/>
      <c r="X29" s="2"/>
    </row>
    <row r="30" spans="1:55" ht="56.25" customHeight="1" x14ac:dyDescent="0.25">
      <c r="A30" s="343"/>
      <c r="B30" s="285"/>
      <c r="C30" s="288"/>
      <c r="D30" s="17" t="s">
        <v>181</v>
      </c>
      <c r="E30" s="18">
        <f t="shared" si="11"/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36"/>
      <c r="W30" s="2"/>
      <c r="X30" s="2"/>
    </row>
    <row r="31" spans="1:55" ht="32.1" customHeight="1" x14ac:dyDescent="0.25">
      <c r="A31" s="285"/>
      <c r="B31" s="285"/>
      <c r="C31" s="289"/>
      <c r="D31" s="17" t="s">
        <v>21</v>
      </c>
      <c r="E31" s="18">
        <f t="shared" si="11"/>
        <v>58442.2</v>
      </c>
      <c r="F31" s="18">
        <f>F42+F47+F52+F57+F62+F67+F78+F83+F88+F93+F207</f>
        <v>0</v>
      </c>
      <c r="G31" s="18">
        <f t="shared" ref="G31:Q31" si="13">G42+G47+G52+G57+G62+G67+G78+G83+G88+G93+G207+G73</f>
        <v>2657.3</v>
      </c>
      <c r="H31" s="18">
        <f t="shared" si="13"/>
        <v>3398</v>
      </c>
      <c r="I31" s="18">
        <f t="shared" si="13"/>
        <v>3476.1</v>
      </c>
      <c r="J31" s="18">
        <f t="shared" si="13"/>
        <v>3848.6</v>
      </c>
      <c r="K31" s="18">
        <f t="shared" si="13"/>
        <v>3946.4</v>
      </c>
      <c r="L31" s="18">
        <f t="shared" si="13"/>
        <v>4207.5</v>
      </c>
      <c r="M31" s="18">
        <f t="shared" si="13"/>
        <v>4363.6000000000004</v>
      </c>
      <c r="N31" s="18">
        <f t="shared" si="13"/>
        <v>4833.2</v>
      </c>
      <c r="O31" s="18">
        <f t="shared" si="13"/>
        <v>6334.2</v>
      </c>
      <c r="P31" s="18">
        <f t="shared" si="13"/>
        <v>6829.2</v>
      </c>
      <c r="Q31" s="18">
        <f t="shared" si="13"/>
        <v>7131.7</v>
      </c>
      <c r="R31" s="18">
        <f>R42+R47+R52+R57+R62+R67+R78+R83+R88+R93+R207+R73</f>
        <v>7416.4</v>
      </c>
      <c r="S31" s="35"/>
      <c r="T31" s="35"/>
      <c r="U31" s="35"/>
      <c r="V31" s="35"/>
      <c r="W31" s="2"/>
      <c r="X31" s="2"/>
      <c r="BC31" s="2"/>
    </row>
    <row r="32" spans="1:55" ht="20.100000000000001" customHeight="1" x14ac:dyDescent="0.25">
      <c r="A32" s="334" t="s">
        <v>24</v>
      </c>
      <c r="B32" s="336" t="s">
        <v>25</v>
      </c>
      <c r="C32" s="30"/>
      <c r="D32" s="14" t="s">
        <v>4</v>
      </c>
      <c r="E32" s="15">
        <f t="shared" si="11"/>
        <v>38710141.599999994</v>
      </c>
      <c r="F32" s="15"/>
      <c r="G32" s="15">
        <f t="shared" ref="G32:M35" si="14">G38+G48+G58+G68+G79+G84+G89</f>
        <v>1703227.2999999998</v>
      </c>
      <c r="H32" s="15">
        <f t="shared" si="14"/>
        <v>1772150.5</v>
      </c>
      <c r="I32" s="15">
        <f t="shared" si="14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4209416</v>
      </c>
      <c r="P32" s="15">
        <f>P34+P35+P37+P33</f>
        <v>4568458.8</v>
      </c>
      <c r="Q32" s="15">
        <f>Q34+Q35+Q37+Q33</f>
        <v>4620838.2</v>
      </c>
      <c r="R32" s="15">
        <f>R34+R35+R37+R33</f>
        <v>4748580.3000000007</v>
      </c>
      <c r="S32" s="83"/>
      <c r="T32" s="83"/>
      <c r="U32" s="83"/>
      <c r="V32" s="83"/>
      <c r="W32" s="76">
        <v>3541354.8</v>
      </c>
      <c r="X32" s="76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76"/>
    </row>
    <row r="33" spans="1:63" ht="28.15" customHeight="1" x14ac:dyDescent="0.25">
      <c r="A33" s="335"/>
      <c r="B33" s="301"/>
      <c r="C33" s="228"/>
      <c r="D33" s="17" t="s">
        <v>17</v>
      </c>
      <c r="E33" s="18">
        <f t="shared" si="11"/>
        <v>1432714.4</v>
      </c>
      <c r="F33" s="15"/>
      <c r="G33" s="18">
        <f t="shared" si="14"/>
        <v>0</v>
      </c>
      <c r="H33" s="18">
        <f t="shared" si="14"/>
        <v>0</v>
      </c>
      <c r="I33" s="18">
        <f t="shared" si="14"/>
        <v>0</v>
      </c>
      <c r="J33" s="18">
        <f t="shared" si="14"/>
        <v>0</v>
      </c>
      <c r="K33" s="18">
        <f t="shared" si="14"/>
        <v>0</v>
      </c>
      <c r="L33" s="18">
        <f t="shared" si="14"/>
        <v>0</v>
      </c>
      <c r="M33" s="18">
        <f t="shared" si="14"/>
        <v>0</v>
      </c>
      <c r="N33" s="18">
        <f>N39+N49+N59+N69+N80+N85+N90+N121+N126</f>
        <v>283484.3</v>
      </c>
      <c r="O33" s="18">
        <f>O39+O49+O59+O69+O80+O85+O90+O121+O126+O166+O171</f>
        <v>273890.09999999998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287233</v>
      </c>
      <c r="S33" s="35"/>
      <c r="T33" s="35"/>
      <c r="U33" s="35"/>
      <c r="V33" s="35"/>
      <c r="W33" s="76"/>
      <c r="X33" s="76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63" ht="26.25" customHeight="1" x14ac:dyDescent="0.25">
      <c r="A34" s="335"/>
      <c r="B34" s="301"/>
      <c r="C34" s="228"/>
      <c r="D34" s="17" t="s">
        <v>18</v>
      </c>
      <c r="E34" s="18">
        <f t="shared" si="11"/>
        <v>22940621.5</v>
      </c>
      <c r="F34" s="15"/>
      <c r="G34" s="18">
        <f t="shared" si="14"/>
        <v>1044880.5</v>
      </c>
      <c r="H34" s="18">
        <f t="shared" si="14"/>
        <v>1074198.7</v>
      </c>
      <c r="I34" s="18">
        <f t="shared" si="14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2434752.4</v>
      </c>
      <c r="P34" s="18">
        <f>P40+P50+P60+P70+P81+P86+P91+P96+P101+P106+P111+P117+P122+P127+P137+P147+P152+P157+P162+P167+P172</f>
        <v>2585143.4</v>
      </c>
      <c r="Q34" s="18">
        <f>Q40+Q50+Q60+Q70+Q81+Q86+Q91+Q96+Q101+Q106+Q111+Q117+Q122+Q127+Q137+Q147+Q152+Q157+Q162+Q167+Q172</f>
        <v>2824066.9999999995</v>
      </c>
      <c r="R34" s="18">
        <f>R40+R50+R60+R70+R81+R86+R91+R96+R101+R106+R111+R117+R122+R127+R137+R147+R152+R157+R162+R167+R172</f>
        <v>2987307.6999999997</v>
      </c>
      <c r="S34" s="35"/>
      <c r="T34" s="35"/>
      <c r="U34" s="35"/>
      <c r="V34" s="35"/>
      <c r="W34" s="76">
        <v>2258118.4</v>
      </c>
      <c r="X34" s="76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76"/>
      <c r="BK34" s="2"/>
    </row>
    <row r="35" spans="1:63" ht="22.9" customHeight="1" x14ac:dyDescent="0.25">
      <c r="A35" s="335"/>
      <c r="B35" s="301"/>
      <c r="C35" s="228"/>
      <c r="D35" s="17" t="s">
        <v>19</v>
      </c>
      <c r="E35" s="18">
        <f t="shared" si="11"/>
        <v>14278363.5</v>
      </c>
      <c r="F35" s="15"/>
      <c r="G35" s="18">
        <f t="shared" si="14"/>
        <v>655689.49999999988</v>
      </c>
      <c r="H35" s="18">
        <f t="shared" si="14"/>
        <v>694553.79999999993</v>
      </c>
      <c r="I35" s="18">
        <f t="shared" si="14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1494439.2999999998</v>
      </c>
      <c r="P35" s="18">
        <f>P41+P51+P61+P71+P82+P87+P92+P97+P102+P107+P112+P118+P123+P128+P133+P138+P153+P158+P163</f>
        <v>1675612.2</v>
      </c>
      <c r="Q35" s="18">
        <f>Q41+Q51+Q61+Q71+Q82+Q87+Q92+Q97+Q102+Q107+Q112+Q118+Q123+Q128+Q133+Q138+Q153+Q158+Q163</f>
        <v>1502406.5</v>
      </c>
      <c r="R35" s="18">
        <f>R41+R51+R61+R71+R82+R87+R92+R97+R102+R107+R112+R118+R123+R128+R133+R138+R153+R158+R163</f>
        <v>1466623.2000000002</v>
      </c>
      <c r="S35" s="35"/>
      <c r="T35" s="35"/>
      <c r="U35" s="35"/>
      <c r="V35" s="35"/>
      <c r="W35" s="76">
        <v>1278872.8</v>
      </c>
      <c r="X35" s="76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76"/>
    </row>
    <row r="36" spans="1:63" ht="62.25" customHeight="1" x14ac:dyDescent="0.25">
      <c r="A36" s="21"/>
      <c r="B36" s="301"/>
      <c r="C36" s="229"/>
      <c r="D36" s="17" t="s">
        <v>20</v>
      </c>
      <c r="E36" s="18">
        <f t="shared" si="11"/>
        <v>19657.100000000002</v>
      </c>
      <c r="F36" s="15"/>
      <c r="G36" s="18">
        <f t="shared" ref="G36:Q36" si="15">G72</f>
        <v>19657.100000000002</v>
      </c>
      <c r="H36" s="18">
        <f t="shared" si="15"/>
        <v>0</v>
      </c>
      <c r="I36" s="18">
        <f t="shared" si="15"/>
        <v>0</v>
      </c>
      <c r="J36" s="18">
        <f t="shared" si="15"/>
        <v>0</v>
      </c>
      <c r="K36" s="18">
        <f t="shared" si="15"/>
        <v>0</v>
      </c>
      <c r="L36" s="18">
        <f t="shared" si="15"/>
        <v>0</v>
      </c>
      <c r="M36" s="18">
        <f t="shared" si="15"/>
        <v>0</v>
      </c>
      <c r="N36" s="18">
        <f t="shared" si="15"/>
        <v>0</v>
      </c>
      <c r="O36" s="18">
        <f t="shared" si="15"/>
        <v>0</v>
      </c>
      <c r="P36" s="18">
        <f t="shared" si="15"/>
        <v>0</v>
      </c>
      <c r="Q36" s="18">
        <f t="shared" si="15"/>
        <v>0</v>
      </c>
      <c r="R36" s="18">
        <f>R72</f>
        <v>0</v>
      </c>
      <c r="S36" s="35"/>
      <c r="T36" s="35"/>
      <c r="U36" s="35"/>
      <c r="V36" s="35"/>
      <c r="W36" s="76"/>
      <c r="X36" s="76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63" ht="34.5" customHeight="1" x14ac:dyDescent="0.25">
      <c r="A37" s="22"/>
      <c r="B37" s="234"/>
      <c r="C37" s="48"/>
      <c r="D37" s="17" t="s">
        <v>21</v>
      </c>
      <c r="E37" s="18">
        <f t="shared" si="11"/>
        <v>58442.2</v>
      </c>
      <c r="F37" s="15"/>
      <c r="G37" s="18">
        <f t="shared" ref="G37:Q37" si="16">G42+G52+G62+G73+G83+G88+G93</f>
        <v>2657.3</v>
      </c>
      <c r="H37" s="18">
        <f t="shared" si="16"/>
        <v>3398</v>
      </c>
      <c r="I37" s="18">
        <f t="shared" si="16"/>
        <v>3476.1</v>
      </c>
      <c r="J37" s="18">
        <f t="shared" si="16"/>
        <v>3848.6</v>
      </c>
      <c r="K37" s="18">
        <f t="shared" si="16"/>
        <v>3946.4</v>
      </c>
      <c r="L37" s="18">
        <f t="shared" si="16"/>
        <v>4207.5</v>
      </c>
      <c r="M37" s="18">
        <f t="shared" si="16"/>
        <v>4363.6000000000004</v>
      </c>
      <c r="N37" s="18">
        <f t="shared" si="16"/>
        <v>4833.2</v>
      </c>
      <c r="O37" s="18">
        <f t="shared" si="16"/>
        <v>6334.2</v>
      </c>
      <c r="P37" s="18">
        <f t="shared" si="16"/>
        <v>6829.2</v>
      </c>
      <c r="Q37" s="18">
        <f t="shared" si="16"/>
        <v>7131.7</v>
      </c>
      <c r="R37" s="18">
        <f>R42+R52+R62+R73+R83+R88+R93</f>
        <v>7416.4</v>
      </c>
      <c r="S37" s="84"/>
      <c r="T37" s="84"/>
      <c r="U37" s="84"/>
      <c r="V37" s="84"/>
      <c r="W37" s="77"/>
      <c r="X37" s="77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77"/>
    </row>
    <row r="38" spans="1:63" ht="31.9" customHeight="1" x14ac:dyDescent="0.25">
      <c r="A38" s="325" t="s">
        <v>26</v>
      </c>
      <c r="B38" s="285" t="s">
        <v>27</v>
      </c>
      <c r="C38" s="339" t="s">
        <v>28</v>
      </c>
      <c r="D38" s="23" t="s">
        <v>29</v>
      </c>
      <c r="E38" s="18">
        <f t="shared" si="11"/>
        <v>706591.2</v>
      </c>
      <c r="F38" s="25">
        <f>SUM(F39:F41)</f>
        <v>0</v>
      </c>
      <c r="G38" s="25">
        <f t="shared" ref="G38:L38" si="17">SUM(G39:G41)</f>
        <v>348375.8</v>
      </c>
      <c r="H38" s="25">
        <f t="shared" si="17"/>
        <v>358215.4</v>
      </c>
      <c r="I38" s="25">
        <f t="shared" si="17"/>
        <v>0</v>
      </c>
      <c r="J38" s="25">
        <f t="shared" si="17"/>
        <v>0</v>
      </c>
      <c r="K38" s="25">
        <f t="shared" si="17"/>
        <v>0</v>
      </c>
      <c r="L38" s="25">
        <f t="shared" si="17"/>
        <v>0</v>
      </c>
      <c r="M38" s="25">
        <f t="shared" ref="M38:R38" si="18">SUM(M39:M41)</f>
        <v>0</v>
      </c>
      <c r="N38" s="25">
        <f t="shared" si="18"/>
        <v>0</v>
      </c>
      <c r="O38" s="25">
        <f t="shared" si="18"/>
        <v>0</v>
      </c>
      <c r="P38" s="25">
        <f t="shared" si="18"/>
        <v>0</v>
      </c>
      <c r="Q38" s="25">
        <f t="shared" si="18"/>
        <v>0</v>
      </c>
      <c r="R38" s="25">
        <f t="shared" si="18"/>
        <v>0</v>
      </c>
      <c r="S38" s="36"/>
      <c r="T38" s="36"/>
      <c r="U38" s="36"/>
      <c r="V38" s="36"/>
      <c r="W38" s="2"/>
      <c r="X38" s="2"/>
    </row>
    <row r="39" spans="1:63" ht="29.85" customHeight="1" x14ac:dyDescent="0.25">
      <c r="A39" s="337"/>
      <c r="B39" s="327"/>
      <c r="C39" s="340"/>
      <c r="D39" s="17" t="s">
        <v>17</v>
      </c>
      <c r="E39" s="18">
        <f t="shared" si="11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36"/>
      <c r="W39" s="2"/>
      <c r="X39" s="2"/>
      <c r="AC39" s="1">
        <f ca="1">AC39</f>
        <v>0</v>
      </c>
    </row>
    <row r="40" spans="1:63" ht="28.15" customHeight="1" x14ac:dyDescent="0.25">
      <c r="A40" s="337"/>
      <c r="B40" s="327"/>
      <c r="C40" s="340"/>
      <c r="D40" s="17" t="s">
        <v>18</v>
      </c>
      <c r="E40" s="18">
        <f t="shared" si="11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36"/>
      <c r="W40" s="2"/>
      <c r="X40" s="2"/>
    </row>
    <row r="41" spans="1:63" ht="33.4" customHeight="1" x14ac:dyDescent="0.25">
      <c r="A41" s="337"/>
      <c r="B41" s="327"/>
      <c r="C41" s="340"/>
      <c r="D41" s="17" t="s">
        <v>19</v>
      </c>
      <c r="E41" s="18">
        <f t="shared" si="11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35"/>
      <c r="W41" s="2"/>
      <c r="X41" s="2"/>
    </row>
    <row r="42" spans="1:63" ht="34.5" customHeight="1" x14ac:dyDescent="0.25">
      <c r="A42" s="338"/>
      <c r="B42" s="338"/>
      <c r="C42" s="341"/>
      <c r="D42" s="17" t="s">
        <v>21</v>
      </c>
      <c r="E42" s="18">
        <f t="shared" si="11"/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36"/>
      <c r="W42" s="2"/>
      <c r="X42" s="2"/>
    </row>
    <row r="43" spans="1:63" ht="20.25" hidden="1" customHeight="1" x14ac:dyDescent="0.25">
      <c r="A43" s="305" t="s">
        <v>30</v>
      </c>
      <c r="B43" s="307" t="s">
        <v>31</v>
      </c>
      <c r="C43" s="287" t="s">
        <v>32</v>
      </c>
      <c r="D43" s="17" t="s">
        <v>29</v>
      </c>
      <c r="E43" s="18">
        <f>SUM(F43:L43)</f>
        <v>0</v>
      </c>
      <c r="F43" s="19">
        <f t="shared" ref="F43:K43" si="19">F44+F45+F46</f>
        <v>0</v>
      </c>
      <c r="G43" s="19">
        <f t="shared" si="19"/>
        <v>0</v>
      </c>
      <c r="H43" s="19">
        <f t="shared" si="19"/>
        <v>0</v>
      </c>
      <c r="I43" s="19">
        <f t="shared" si="19"/>
        <v>0</v>
      </c>
      <c r="J43" s="19">
        <f t="shared" si="19"/>
        <v>0</v>
      </c>
      <c r="K43" s="19">
        <f t="shared" si="19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36"/>
      <c r="W43" s="2"/>
      <c r="X43" s="2"/>
    </row>
    <row r="44" spans="1:63" ht="13.9" hidden="1" customHeight="1" x14ac:dyDescent="0.25">
      <c r="A44" s="305"/>
      <c r="B44" s="307"/>
      <c r="C44" s="288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36"/>
      <c r="W44" s="2"/>
      <c r="X44" s="2"/>
    </row>
    <row r="45" spans="1:63" ht="16.5" hidden="1" customHeight="1" x14ac:dyDescent="0.25">
      <c r="A45" s="305"/>
      <c r="B45" s="307"/>
      <c r="C45" s="288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36"/>
      <c r="W45" s="2"/>
      <c r="X45" s="2"/>
    </row>
    <row r="46" spans="1:63" ht="17.25" hidden="1" customHeight="1" x14ac:dyDescent="0.25">
      <c r="A46" s="305"/>
      <c r="B46" s="307"/>
      <c r="C46" s="288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36"/>
      <c r="W46" s="2"/>
      <c r="X46" s="2"/>
    </row>
    <row r="47" spans="1:63" ht="9" hidden="1" customHeight="1" x14ac:dyDescent="0.25">
      <c r="A47" s="320"/>
      <c r="B47" s="307"/>
      <c r="C47" s="289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36"/>
      <c r="W47" s="2"/>
      <c r="X47" s="2"/>
    </row>
    <row r="48" spans="1:63" ht="38.65" customHeight="1" x14ac:dyDescent="0.25">
      <c r="A48" s="143" t="s">
        <v>33</v>
      </c>
      <c r="B48" s="326" t="s">
        <v>240</v>
      </c>
      <c r="C48" s="302" t="s">
        <v>28</v>
      </c>
      <c r="D48" s="26" t="s">
        <v>29</v>
      </c>
      <c r="E48" s="18">
        <f>SUM(F48:R48)</f>
        <v>1389412.6</v>
      </c>
      <c r="F48" s="19">
        <f t="shared" ref="F48:Q48" si="20">SUM(F49:F51)</f>
        <v>0</v>
      </c>
      <c r="G48" s="19">
        <f t="shared" si="20"/>
        <v>67435.5</v>
      </c>
      <c r="H48" s="19">
        <f t="shared" si="20"/>
        <v>75559.100000000006</v>
      </c>
      <c r="I48" s="19">
        <f t="shared" si="20"/>
        <v>75730.399999999994</v>
      </c>
      <c r="J48" s="19">
        <f t="shared" si="20"/>
        <v>98778.2</v>
      </c>
      <c r="K48" s="19">
        <f t="shared" si="20"/>
        <v>97582.8</v>
      </c>
      <c r="L48" s="19">
        <f t="shared" si="20"/>
        <v>92717.3</v>
      </c>
      <c r="M48" s="19">
        <f t="shared" si="20"/>
        <v>110222.8</v>
      </c>
      <c r="N48" s="19">
        <f t="shared" si="20"/>
        <v>104695</v>
      </c>
      <c r="O48" s="19">
        <f>SUM(O49:O51)</f>
        <v>147530.20000000001</v>
      </c>
      <c r="P48" s="19">
        <f t="shared" si="20"/>
        <v>173166.50000000003</v>
      </c>
      <c r="Q48" s="19">
        <f t="shared" si="20"/>
        <v>173025.6</v>
      </c>
      <c r="R48" s="19">
        <f>SUM(R49:R51)</f>
        <v>172969.2</v>
      </c>
      <c r="S48" s="36"/>
      <c r="T48" s="36"/>
      <c r="U48" s="36"/>
      <c r="V48" s="36"/>
      <c r="W48" s="2">
        <v>134324.20000000001</v>
      </c>
      <c r="X48" s="2"/>
    </row>
    <row r="49" spans="1:24" ht="21.6" customHeight="1" x14ac:dyDescent="0.25">
      <c r="A49" s="115"/>
      <c r="B49" s="327"/>
      <c r="C49" s="303"/>
      <c r="D49" s="17" t="s">
        <v>17</v>
      </c>
      <c r="E49" s="18">
        <f>SUM(F49:R49)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36"/>
      <c r="W49" s="2"/>
      <c r="X49" s="2"/>
    </row>
    <row r="50" spans="1:24" ht="35.65" customHeight="1" x14ac:dyDescent="0.25">
      <c r="A50" s="115"/>
      <c r="B50" s="327"/>
      <c r="C50" s="303"/>
      <c r="D50" s="17" t="s">
        <v>18</v>
      </c>
      <c r="E50" s="18">
        <f>SUM(F50:R50)</f>
        <v>1389412.6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6">
        <f>163661.1-16130.9</f>
        <v>147530.20000000001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36"/>
      <c r="W50" s="2">
        <v>134324.20000000001</v>
      </c>
      <c r="X50" s="2"/>
    </row>
    <row r="51" spans="1:24" ht="30.75" customHeight="1" x14ac:dyDescent="0.25">
      <c r="A51" s="115"/>
      <c r="B51" s="327"/>
      <c r="C51" s="303"/>
      <c r="D51" s="17" t="s">
        <v>19</v>
      </c>
      <c r="E51" s="18">
        <f>SUM(F51:R51)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36"/>
      <c r="W51" s="2"/>
      <c r="X51" s="2"/>
    </row>
    <row r="52" spans="1:24" ht="32.25" customHeight="1" x14ac:dyDescent="0.25">
      <c r="A52" s="88"/>
      <c r="B52" s="147"/>
      <c r="C52" s="304"/>
      <c r="D52" s="17" t="s">
        <v>21</v>
      </c>
      <c r="E52" s="18">
        <f>SUM(F52:R52)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36"/>
      <c r="W52" s="2"/>
      <c r="X52" s="2"/>
    </row>
    <row r="53" spans="1:24" ht="18" hidden="1" customHeight="1" x14ac:dyDescent="0.25">
      <c r="A53" s="305" t="s">
        <v>34</v>
      </c>
      <c r="B53" s="285" t="s">
        <v>35</v>
      </c>
      <c r="C53" s="287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21">SUM(G54:G56)</f>
        <v>0</v>
      </c>
      <c r="H53" s="19">
        <f t="shared" si="21"/>
        <v>0</v>
      </c>
      <c r="I53" s="19">
        <f t="shared" si="21"/>
        <v>0</v>
      </c>
      <c r="J53" s="19">
        <f t="shared" si="21"/>
        <v>0</v>
      </c>
      <c r="K53" s="19">
        <f t="shared" si="21"/>
        <v>0</v>
      </c>
      <c r="L53" s="19">
        <f t="shared" si="21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36"/>
      <c r="W53" s="2"/>
      <c r="X53" s="2"/>
    </row>
    <row r="54" spans="1:24" ht="18" hidden="1" customHeight="1" x14ac:dyDescent="0.25">
      <c r="A54" s="305"/>
      <c r="B54" s="285"/>
      <c r="C54" s="288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36"/>
      <c r="W54" s="2"/>
      <c r="X54" s="2"/>
    </row>
    <row r="55" spans="1:24" ht="20.25" hidden="1" customHeight="1" x14ac:dyDescent="0.25">
      <c r="A55" s="305"/>
      <c r="B55" s="285"/>
      <c r="C55" s="288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36"/>
      <c r="W55" s="2"/>
      <c r="X55" s="2"/>
    </row>
    <row r="56" spans="1:24" ht="21" hidden="1" customHeight="1" x14ac:dyDescent="0.25">
      <c r="A56" s="305"/>
      <c r="B56" s="285"/>
      <c r="C56" s="288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36"/>
      <c r="W56" s="2"/>
      <c r="X56" s="2"/>
    </row>
    <row r="57" spans="1:24" ht="8.65" hidden="1" customHeight="1" x14ac:dyDescent="0.25">
      <c r="A57" s="323"/>
      <c r="B57" s="286"/>
      <c r="C57" s="289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36"/>
      <c r="W57" s="2"/>
      <c r="X57" s="2"/>
    </row>
    <row r="58" spans="1:24" ht="142.69999999999999" customHeight="1" x14ac:dyDescent="0.25">
      <c r="A58" s="324" t="s">
        <v>36</v>
      </c>
      <c r="B58" s="295" t="s">
        <v>235</v>
      </c>
      <c r="C58" s="287" t="s">
        <v>37</v>
      </c>
      <c r="D58" s="17" t="s">
        <v>29</v>
      </c>
      <c r="E58" s="18">
        <f>SUM(F58:R58)</f>
        <v>20089699.600000001</v>
      </c>
      <c r="F58" s="19">
        <f>SUM(F59:F61)</f>
        <v>0</v>
      </c>
      <c r="G58" s="19">
        <f t="shared" ref="G58:L58" si="22">SUM(G59:G61)</f>
        <v>629069.20000000007</v>
      </c>
      <c r="H58" s="19">
        <f t="shared" si="22"/>
        <v>640424.19999999995</v>
      </c>
      <c r="I58" s="19">
        <f t="shared" si="22"/>
        <v>1067945.6000000001</v>
      </c>
      <c r="J58" s="19">
        <f t="shared" si="22"/>
        <v>1161461.3999999999</v>
      </c>
      <c r="K58" s="19">
        <f t="shared" si="22"/>
        <v>1303816.1000000001</v>
      </c>
      <c r="L58" s="19">
        <f t="shared" si="22"/>
        <v>1492743.2</v>
      </c>
      <c r="M58" s="19">
        <f t="shared" ref="M58:R58" si="23">SUM(M59:M61)</f>
        <v>1849846.6</v>
      </c>
      <c r="N58" s="19">
        <f t="shared" si="23"/>
        <v>1998344.7999999998</v>
      </c>
      <c r="O58" s="19">
        <f t="shared" si="23"/>
        <v>2245865.7999999998</v>
      </c>
      <c r="P58" s="19">
        <f t="shared" si="23"/>
        <v>2345348.9</v>
      </c>
      <c r="Q58" s="19">
        <f t="shared" si="23"/>
        <v>2595924.7999999998</v>
      </c>
      <c r="R58" s="19">
        <f t="shared" si="23"/>
        <v>2758909</v>
      </c>
      <c r="S58" s="36"/>
      <c r="T58" s="36"/>
      <c r="U58" s="36"/>
      <c r="V58" s="36"/>
      <c r="W58" s="2">
        <v>1804332.6</v>
      </c>
      <c r="X58" s="2"/>
    </row>
    <row r="59" spans="1:24" ht="35.25" customHeight="1" x14ac:dyDescent="0.25">
      <c r="A59" s="325"/>
      <c r="B59" s="296"/>
      <c r="C59" s="288"/>
      <c r="D59" s="17" t="s">
        <v>17</v>
      </c>
      <c r="E59" s="18">
        <f>SUM(F59:R59)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36"/>
      <c r="W59" s="2"/>
      <c r="X59" s="2"/>
    </row>
    <row r="60" spans="1:24" ht="37.5" customHeight="1" x14ac:dyDescent="0.25">
      <c r="A60" s="325"/>
      <c r="B60" s="296"/>
      <c r="C60" s="288"/>
      <c r="D60" s="17" t="s">
        <v>18</v>
      </c>
      <c r="E60" s="18">
        <f>SUM(F60:R60)</f>
        <v>20089699.600000001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6">
        <f>2141071.9+104793.9</f>
        <v>2245865.7999999998</v>
      </c>
      <c r="P60" s="16">
        <f>973486.2+1373636.3+4485.2-17565.6+11306.8</f>
        <v>2345348.9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36"/>
      <c r="W60" s="2">
        <v>1804332.6</v>
      </c>
      <c r="X60" s="2"/>
    </row>
    <row r="61" spans="1:24" ht="34.5" customHeight="1" x14ac:dyDescent="0.25">
      <c r="A61" s="325"/>
      <c r="B61" s="296"/>
      <c r="C61" s="288"/>
      <c r="D61" s="17" t="s">
        <v>19</v>
      </c>
      <c r="E61" s="18">
        <f>SUM(F61:R61)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36"/>
      <c r="W61" s="2"/>
      <c r="X61" s="2"/>
    </row>
    <row r="62" spans="1:24" ht="62.85" customHeight="1" x14ac:dyDescent="0.25">
      <c r="A62" s="286"/>
      <c r="B62" s="297"/>
      <c r="C62" s="289"/>
      <c r="D62" s="17" t="s">
        <v>21</v>
      </c>
      <c r="E62" s="18">
        <f>SUM(F62:R62)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36"/>
      <c r="W62" s="2"/>
      <c r="X62" s="2"/>
    </row>
    <row r="63" spans="1:24" ht="19.5" hidden="1" customHeight="1" x14ac:dyDescent="0.25">
      <c r="A63" s="321" t="s">
        <v>38</v>
      </c>
      <c r="B63" s="322" t="s">
        <v>39</v>
      </c>
      <c r="C63" s="287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24">SUM(G64:G66)</f>
        <v>0</v>
      </c>
      <c r="H63" s="19">
        <f t="shared" si="24"/>
        <v>0</v>
      </c>
      <c r="I63" s="19">
        <f t="shared" si="24"/>
        <v>0</v>
      </c>
      <c r="J63" s="19">
        <f t="shared" si="24"/>
        <v>0</v>
      </c>
      <c r="K63" s="19">
        <f t="shared" si="24"/>
        <v>0</v>
      </c>
      <c r="L63" s="19">
        <f t="shared" si="24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36"/>
      <c r="W63" s="2"/>
      <c r="X63" s="2"/>
    </row>
    <row r="64" spans="1:24" ht="18" hidden="1" customHeight="1" x14ac:dyDescent="0.25">
      <c r="A64" s="305"/>
      <c r="B64" s="285"/>
      <c r="C64" s="288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36"/>
      <c r="W64" s="2"/>
      <c r="X64" s="2"/>
    </row>
    <row r="65" spans="1:57" ht="20.25" hidden="1" customHeight="1" x14ac:dyDescent="0.25">
      <c r="A65" s="305"/>
      <c r="B65" s="285"/>
      <c r="C65" s="288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36"/>
      <c r="W65" s="2"/>
      <c r="X65" s="2"/>
    </row>
    <row r="66" spans="1:57" ht="15.75" hidden="1" customHeight="1" x14ac:dyDescent="0.25">
      <c r="A66" s="320"/>
      <c r="B66" s="285"/>
      <c r="C66" s="288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36"/>
      <c r="W66" s="2"/>
      <c r="X66" s="2"/>
    </row>
    <row r="67" spans="1:57" ht="1.1499999999999999" hidden="1" customHeight="1" x14ac:dyDescent="0.25">
      <c r="A67" s="320"/>
      <c r="B67" s="285"/>
      <c r="C67" s="289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36"/>
      <c r="W67" s="2"/>
      <c r="X67" s="2"/>
    </row>
    <row r="68" spans="1:57" ht="33.75" customHeight="1" x14ac:dyDescent="0.25">
      <c r="A68" s="190" t="s">
        <v>41</v>
      </c>
      <c r="B68" s="309" t="s">
        <v>42</v>
      </c>
      <c r="C68" s="302" t="s">
        <v>16</v>
      </c>
      <c r="D68" s="17" t="s">
        <v>29</v>
      </c>
      <c r="E68" s="18">
        <f>SUM(F68:R68)</f>
        <v>13325280.199999999</v>
      </c>
      <c r="F68" s="19">
        <f>SUM(F69:F71)</f>
        <v>0</v>
      </c>
      <c r="G68" s="19">
        <f t="shared" ref="G68:L68" si="25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25"/>
        <v>907206.9</v>
      </c>
      <c r="K68" s="19">
        <f>SUM(K69:K71)+K73</f>
        <v>1162512.7</v>
      </c>
      <c r="L68" s="19">
        <f t="shared" si="25"/>
        <v>1307859.1999999997</v>
      </c>
      <c r="M68" s="19">
        <f t="shared" ref="M68:R68" si="26">SUM(M69:M71)+M73</f>
        <v>1192168.5999999999</v>
      </c>
      <c r="N68" s="19">
        <f t="shared" si="26"/>
        <v>1206005.3000000003</v>
      </c>
      <c r="O68" s="19">
        <f t="shared" si="26"/>
        <v>1351482.0999999996</v>
      </c>
      <c r="P68" s="19">
        <f t="shared" si="26"/>
        <v>1484710.9</v>
      </c>
      <c r="Q68" s="19">
        <f t="shared" si="26"/>
        <v>1338365.0999999999</v>
      </c>
      <c r="R68" s="19">
        <f t="shared" si="26"/>
        <v>1326073.1000000001</v>
      </c>
      <c r="S68" s="36"/>
      <c r="T68" s="36"/>
      <c r="U68" s="36"/>
      <c r="V68" s="36"/>
      <c r="W68" s="2">
        <v>1161723.8999999999</v>
      </c>
      <c r="X68" s="2">
        <v>1118287.3</v>
      </c>
    </row>
    <row r="69" spans="1:57" ht="33.4" customHeight="1" x14ac:dyDescent="0.25">
      <c r="A69" s="167"/>
      <c r="B69" s="310"/>
      <c r="C69" s="303"/>
      <c r="D69" s="17" t="s">
        <v>17</v>
      </c>
      <c r="E69" s="18">
        <f t="shared" ref="E69:E71" si="27">SUM(F69:R69)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36"/>
      <c r="W69" s="2"/>
      <c r="X69" s="2"/>
    </row>
    <row r="70" spans="1:57" ht="44.25" customHeight="1" x14ac:dyDescent="0.25">
      <c r="A70" s="167"/>
      <c r="B70" s="310"/>
      <c r="C70" s="303"/>
      <c r="D70" s="17" t="s">
        <v>18</v>
      </c>
      <c r="E70" s="18">
        <f t="shared" si="27"/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36"/>
      <c r="W70" s="2"/>
      <c r="X70" s="2"/>
    </row>
    <row r="71" spans="1:57" ht="31.9" customHeight="1" x14ac:dyDescent="0.25">
      <c r="A71" s="227"/>
      <c r="B71" s="210"/>
      <c r="C71" s="303"/>
      <c r="D71" s="17" t="s">
        <v>19</v>
      </c>
      <c r="E71" s="18">
        <f t="shared" si="27"/>
        <v>13266838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9">
        <f>681527.4+248049+229367.7-0.1-1015.1+44283.4+288.5+0.2+176.6+431.1+2484.9+36671.4+1630.7+6041.8+25442.8+14.8+36951.2+4192.4+2760+25000+563.5+3349-3063.3</f>
        <v>1345147.8999999997</v>
      </c>
      <c r="P71" s="279">
        <f>703062.1+320671.5+145023.9+107462.8-45.1+20327.8+1481.7+16789.1+77369.6+10186.7-0.1+0.1+5807.1+2778.4+300+400+700+229+293.4+64481.3+29223.4+3190+3180.2+336.3+690-28454-26934.6+1802+11756.8+2100+3672.3</f>
        <v>1477881.7</v>
      </c>
      <c r="Q71" s="267">
        <f>727408.8+336444+153389+113991.7-3284.5+3284.5-0.1</f>
        <v>1331233.3999999999</v>
      </c>
      <c r="R71" s="267">
        <f>714528.1+329249+157694+117185.6-3284.5+3284.5</f>
        <v>1318656.7000000002</v>
      </c>
      <c r="S71" s="36"/>
      <c r="T71" s="36"/>
      <c r="U71" s="36">
        <f>682112.6+249462.4+125763.9+100878.7</f>
        <v>1158217.5999999999</v>
      </c>
      <c r="V71" s="36">
        <f>U71-O71</f>
        <v>-186930.29999999981</v>
      </c>
      <c r="W71" s="2">
        <v>1157360.3</v>
      </c>
      <c r="X71" s="2">
        <v>1113765</v>
      </c>
      <c r="BD71" s="202" t="s">
        <v>249</v>
      </c>
      <c r="BE71" s="202"/>
    </row>
    <row r="72" spans="1:57" ht="57.6" customHeight="1" x14ac:dyDescent="0.25">
      <c r="A72" s="227"/>
      <c r="B72" s="226"/>
      <c r="C72" s="303"/>
      <c r="D72" s="17" t="s">
        <v>20</v>
      </c>
      <c r="E72" s="18">
        <f>SUM(F72:R72)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36"/>
      <c r="W72" s="2"/>
      <c r="X72" s="2"/>
    </row>
    <row r="73" spans="1:57" ht="38.25" customHeight="1" x14ac:dyDescent="0.25">
      <c r="A73" s="22"/>
      <c r="B73" s="216"/>
      <c r="C73" s="304"/>
      <c r="D73" s="17" t="s">
        <v>21</v>
      </c>
      <c r="E73" s="18">
        <f>SUM(F73:R73)</f>
        <v>58442.2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6">
        <f>4805.9+1528.3</f>
        <v>6334.2</v>
      </c>
      <c r="P73" s="19">
        <v>6829.2</v>
      </c>
      <c r="Q73" s="19">
        <v>7131.7</v>
      </c>
      <c r="R73" s="19">
        <v>7416.4</v>
      </c>
      <c r="S73" s="36"/>
      <c r="T73" s="36"/>
      <c r="U73" s="36"/>
      <c r="V73" s="36"/>
      <c r="W73" s="2"/>
      <c r="X73" s="2"/>
    </row>
    <row r="74" spans="1:57" ht="21" hidden="1" customHeight="1" x14ac:dyDescent="0.25">
      <c r="A74" s="305" t="s">
        <v>43</v>
      </c>
      <c r="B74" s="307" t="s">
        <v>44</v>
      </c>
      <c r="C74" s="27"/>
      <c r="D74" s="17" t="s">
        <v>4</v>
      </c>
      <c r="E74" s="18">
        <f>SUM(F74:L74)</f>
        <v>0</v>
      </c>
      <c r="F74" s="19">
        <f t="shared" ref="F74:L74" si="28">SUM(F75:F77)</f>
        <v>0</v>
      </c>
      <c r="G74" s="19">
        <f t="shared" si="28"/>
        <v>0</v>
      </c>
      <c r="H74" s="19">
        <f t="shared" si="28"/>
        <v>0</v>
      </c>
      <c r="I74" s="19">
        <f t="shared" si="28"/>
        <v>0</v>
      </c>
      <c r="J74" s="19">
        <f t="shared" si="28"/>
        <v>0</v>
      </c>
      <c r="K74" s="19">
        <f t="shared" si="28"/>
        <v>0</v>
      </c>
      <c r="L74" s="19">
        <f t="shared" si="28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36"/>
      <c r="W74" s="2"/>
      <c r="X74" s="2"/>
    </row>
    <row r="75" spans="1:57" ht="15.75" hidden="1" customHeight="1" x14ac:dyDescent="0.25">
      <c r="A75" s="305"/>
      <c r="B75" s="307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36"/>
      <c r="W75" s="2"/>
      <c r="X75" s="2"/>
    </row>
    <row r="76" spans="1:57" ht="15.75" hidden="1" customHeight="1" x14ac:dyDescent="0.25">
      <c r="A76" s="305"/>
      <c r="B76" s="307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36"/>
      <c r="W76" s="2"/>
      <c r="X76" s="2"/>
    </row>
    <row r="77" spans="1:57" ht="28.15" hidden="1" customHeight="1" x14ac:dyDescent="0.25">
      <c r="A77" s="306"/>
      <c r="B77" s="308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36"/>
      <c r="W77" s="2"/>
      <c r="X77" s="2"/>
    </row>
    <row r="78" spans="1:57" ht="33" hidden="1" customHeight="1" x14ac:dyDescent="0.25">
      <c r="A78" s="120"/>
      <c r="B78" s="122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36"/>
      <c r="W78" s="2"/>
      <c r="X78" s="2"/>
    </row>
    <row r="79" spans="1:57" ht="30.75" customHeight="1" x14ac:dyDescent="0.25">
      <c r="A79" s="410" t="s">
        <v>49</v>
      </c>
      <c r="B79" s="280" t="s">
        <v>50</v>
      </c>
      <c r="C79" s="302" t="s">
        <v>16</v>
      </c>
      <c r="D79" s="17" t="s">
        <v>29</v>
      </c>
      <c r="E79" s="18">
        <f t="shared" ref="E79:E85" si="29">SUM(F79:R79)</f>
        <v>218836.69999999998</v>
      </c>
      <c r="F79" s="19">
        <f t="shared" ref="F79:L79" si="30">SUM(F80:F82)</f>
        <v>0</v>
      </c>
      <c r="G79" s="19">
        <f t="shared" si="30"/>
        <v>0</v>
      </c>
      <c r="H79" s="19">
        <f t="shared" si="30"/>
        <v>9622.1</v>
      </c>
      <c r="I79" s="19">
        <f t="shared" si="30"/>
        <v>9742.5999999999985</v>
      </c>
      <c r="J79" s="19">
        <f t="shared" si="30"/>
        <v>10065.700000000001</v>
      </c>
      <c r="K79" s="19">
        <f t="shared" si="30"/>
        <v>11563</v>
      </c>
      <c r="L79" s="19">
        <f t="shared" si="30"/>
        <v>13444.699999999999</v>
      </c>
      <c r="M79" s="19">
        <f t="shared" ref="M79:R79" si="31">SUM(M80:M82)</f>
        <v>21813.599999999999</v>
      </c>
      <c r="N79" s="19">
        <f t="shared" si="31"/>
        <v>23964.3</v>
      </c>
      <c r="O79" s="19">
        <f t="shared" si="31"/>
        <v>26360.6</v>
      </c>
      <c r="P79" s="19">
        <f t="shared" si="31"/>
        <v>29674.899999999998</v>
      </c>
      <c r="Q79" s="19">
        <f t="shared" si="31"/>
        <v>31292.6</v>
      </c>
      <c r="R79" s="19">
        <f t="shared" si="31"/>
        <v>31292.6</v>
      </c>
      <c r="S79" s="36"/>
      <c r="T79" s="36"/>
      <c r="U79" s="36"/>
      <c r="V79" s="36"/>
      <c r="W79" s="2">
        <v>18207.3</v>
      </c>
      <c r="X79" s="2"/>
    </row>
    <row r="80" spans="1:57" ht="30.75" customHeight="1" x14ac:dyDescent="0.25">
      <c r="A80" s="411"/>
      <c r="B80" s="311"/>
      <c r="C80" s="303"/>
      <c r="D80" s="17" t="s">
        <v>17</v>
      </c>
      <c r="E80" s="18">
        <f t="shared" si="29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36"/>
      <c r="W80" s="2"/>
      <c r="X80" s="2"/>
    </row>
    <row r="81" spans="1:24" ht="32.1" customHeight="1" x14ac:dyDescent="0.25">
      <c r="A81" s="411"/>
      <c r="B81" s="311"/>
      <c r="C81" s="303"/>
      <c r="D81" s="17" t="s">
        <v>18</v>
      </c>
      <c r="E81" s="18">
        <f t="shared" si="29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36"/>
      <c r="W81" s="2"/>
      <c r="X81" s="2"/>
    </row>
    <row r="82" spans="1:24" ht="24" customHeight="1" x14ac:dyDescent="0.25">
      <c r="A82" s="412"/>
      <c r="B82" s="274"/>
      <c r="C82" s="303"/>
      <c r="D82" s="17" t="s">
        <v>19</v>
      </c>
      <c r="E82" s="18">
        <f t="shared" si="29"/>
        <v>218836.69999999998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6">
        <f>29660.6-400-2925+25</f>
        <v>26360.6</v>
      </c>
      <c r="P82" s="279">
        <f>31292.6-1617.7</f>
        <v>29674.899999999998</v>
      </c>
      <c r="Q82" s="19">
        <v>31292.6</v>
      </c>
      <c r="R82" s="19">
        <v>31292.6</v>
      </c>
      <c r="S82" s="36"/>
      <c r="T82" s="36"/>
      <c r="U82" s="36"/>
      <c r="V82" s="36"/>
      <c r="W82" s="2"/>
      <c r="X82" s="2"/>
    </row>
    <row r="83" spans="1:24" ht="34.15" customHeight="1" x14ac:dyDescent="0.25">
      <c r="A83" s="220"/>
      <c r="B83" s="175"/>
      <c r="C83" s="304"/>
      <c r="D83" s="17" t="s">
        <v>21</v>
      </c>
      <c r="E83" s="18">
        <f t="shared" si="29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36"/>
      <c r="W83" s="2"/>
      <c r="X83" s="2"/>
    </row>
    <row r="84" spans="1:24" ht="30" customHeight="1" x14ac:dyDescent="0.25">
      <c r="A84" s="105" t="s">
        <v>51</v>
      </c>
      <c r="B84" s="312" t="s">
        <v>52</v>
      </c>
      <c r="C84" s="302" t="s">
        <v>16</v>
      </c>
      <c r="D84" s="17" t="s">
        <v>29</v>
      </c>
      <c r="E84" s="18">
        <f t="shared" si="29"/>
        <v>5697.5999999999995</v>
      </c>
      <c r="F84" s="19">
        <f t="shared" ref="F84:L84" si="32">SUM(F85:F87)</f>
        <v>0</v>
      </c>
      <c r="G84" s="19">
        <f t="shared" si="32"/>
        <v>0</v>
      </c>
      <c r="H84" s="19">
        <f t="shared" si="32"/>
        <v>480</v>
      </c>
      <c r="I84" s="19">
        <f t="shared" si="32"/>
        <v>480</v>
      </c>
      <c r="J84" s="19">
        <f t="shared" si="32"/>
        <v>480</v>
      </c>
      <c r="K84" s="19">
        <f t="shared" si="32"/>
        <v>480</v>
      </c>
      <c r="L84" s="19">
        <f t="shared" si="32"/>
        <v>480</v>
      </c>
      <c r="M84" s="19">
        <f t="shared" ref="M84:R84" si="33">SUM(M85:M87)</f>
        <v>499.2</v>
      </c>
      <c r="N84" s="19">
        <f t="shared" si="33"/>
        <v>499.2</v>
      </c>
      <c r="O84" s="19">
        <f t="shared" si="33"/>
        <v>499.2</v>
      </c>
      <c r="P84" s="19">
        <f t="shared" si="33"/>
        <v>600</v>
      </c>
      <c r="Q84" s="19">
        <f t="shared" si="33"/>
        <v>600</v>
      </c>
      <c r="R84" s="19">
        <f t="shared" si="33"/>
        <v>600</v>
      </c>
      <c r="S84" s="36"/>
      <c r="T84" s="36"/>
      <c r="U84" s="36"/>
      <c r="V84" s="36"/>
      <c r="W84" s="2">
        <v>499</v>
      </c>
      <c r="X84" s="2"/>
    </row>
    <row r="85" spans="1:24" ht="22.9" customHeight="1" x14ac:dyDescent="0.25">
      <c r="A85" s="106"/>
      <c r="B85" s="313"/>
      <c r="C85" s="303"/>
      <c r="D85" s="17" t="s">
        <v>17</v>
      </c>
      <c r="E85" s="18">
        <f t="shared" si="29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36"/>
      <c r="W85" s="2"/>
      <c r="X85" s="2"/>
    </row>
    <row r="86" spans="1:24" ht="24.75" customHeight="1" x14ac:dyDescent="0.25">
      <c r="A86" s="106"/>
      <c r="B86" s="313"/>
      <c r="C86" s="303"/>
      <c r="D86" s="17" t="s">
        <v>18</v>
      </c>
      <c r="E86" s="18">
        <f t="shared" ref="E86:E149" si="34">SUM(F86:R86)</f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36"/>
      <c r="W86" s="2"/>
      <c r="X86" s="2"/>
    </row>
    <row r="87" spans="1:24" ht="23.25" customHeight="1" x14ac:dyDescent="0.25">
      <c r="A87" s="106"/>
      <c r="B87" s="313"/>
      <c r="C87" s="303"/>
      <c r="D87" s="17" t="s">
        <v>19</v>
      </c>
      <c r="E87" s="18">
        <f t="shared" si="34"/>
        <v>5697.5999999999995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36"/>
      <c r="W87" s="2"/>
      <c r="X87" s="2"/>
    </row>
    <row r="88" spans="1:24" ht="33" customHeight="1" x14ac:dyDescent="0.25">
      <c r="A88" s="129"/>
      <c r="B88" s="314"/>
      <c r="C88" s="304"/>
      <c r="D88" s="17" t="s">
        <v>21</v>
      </c>
      <c r="E88" s="18">
        <f t="shared" si="34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36"/>
      <c r="W88" s="2"/>
      <c r="X88" s="2"/>
    </row>
    <row r="89" spans="1:24" ht="24.75" customHeight="1" x14ac:dyDescent="0.25">
      <c r="A89" s="263" t="s">
        <v>53</v>
      </c>
      <c r="B89" s="312" t="s">
        <v>54</v>
      </c>
      <c r="C89" s="302" t="s">
        <v>16</v>
      </c>
      <c r="D89" s="17" t="s">
        <v>29</v>
      </c>
      <c r="E89" s="18">
        <f t="shared" si="34"/>
        <v>32882.1</v>
      </c>
      <c r="F89" s="19">
        <f t="shared" ref="F89:L89" si="35">SUM(F90:F92)</f>
        <v>0</v>
      </c>
      <c r="G89" s="19">
        <f t="shared" si="35"/>
        <v>0</v>
      </c>
      <c r="H89" s="19">
        <f t="shared" si="35"/>
        <v>7738.4</v>
      </c>
      <c r="I89" s="19">
        <f t="shared" si="35"/>
        <v>8267.4</v>
      </c>
      <c r="J89" s="19">
        <f t="shared" si="35"/>
        <v>3721.1</v>
      </c>
      <c r="K89" s="19">
        <f t="shared" si="35"/>
        <v>2584.3000000000002</v>
      </c>
      <c r="L89" s="19">
        <f t="shared" si="35"/>
        <v>2415.8999999999996</v>
      </c>
      <c r="M89" s="19">
        <f t="shared" ref="M89:R89" si="36">SUM(M90:M92)</f>
        <v>2303.3000000000002</v>
      </c>
      <c r="N89" s="19">
        <f t="shared" si="36"/>
        <v>971.19999999999982</v>
      </c>
      <c r="O89" s="19">
        <f t="shared" si="36"/>
        <v>880.5</v>
      </c>
      <c r="P89" s="19">
        <f t="shared" si="36"/>
        <v>1000</v>
      </c>
      <c r="Q89" s="19">
        <f t="shared" si="36"/>
        <v>1500</v>
      </c>
      <c r="R89" s="19">
        <f t="shared" si="36"/>
        <v>1500</v>
      </c>
      <c r="S89" s="36"/>
      <c r="T89" s="36"/>
      <c r="U89" s="36"/>
      <c r="V89" s="36"/>
      <c r="W89" s="2">
        <v>7229.3</v>
      </c>
      <c r="X89" s="2"/>
    </row>
    <row r="90" spans="1:24" ht="20.25" customHeight="1" x14ac:dyDescent="0.25">
      <c r="A90" s="264"/>
      <c r="B90" s="301"/>
      <c r="C90" s="303"/>
      <c r="D90" s="17" t="s">
        <v>17</v>
      </c>
      <c r="E90" s="18">
        <f t="shared" si="34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36"/>
      <c r="W90" s="2"/>
      <c r="X90" s="2"/>
    </row>
    <row r="91" spans="1:24" ht="35.65" customHeight="1" x14ac:dyDescent="0.25">
      <c r="A91" s="264"/>
      <c r="B91" s="301"/>
      <c r="C91" s="303"/>
      <c r="D91" s="17" t="s">
        <v>18</v>
      </c>
      <c r="E91" s="18">
        <f t="shared" si="34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36"/>
      <c r="W91" s="2"/>
      <c r="X91" s="2"/>
    </row>
    <row r="92" spans="1:24" ht="24.75" customHeight="1" x14ac:dyDescent="0.25">
      <c r="A92" s="264"/>
      <c r="B92" s="301"/>
      <c r="C92" s="303"/>
      <c r="D92" s="17" t="s">
        <v>19</v>
      </c>
      <c r="E92" s="18">
        <f t="shared" si="34"/>
        <v>32882.1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f>1500-500</f>
        <v>1000</v>
      </c>
      <c r="Q92" s="19">
        <v>1500</v>
      </c>
      <c r="R92" s="19">
        <v>1500</v>
      </c>
      <c r="S92" s="36"/>
      <c r="T92" s="36"/>
      <c r="U92" s="36"/>
      <c r="V92" s="36"/>
      <c r="W92" s="2"/>
      <c r="X92" s="2"/>
    </row>
    <row r="93" spans="1:24" ht="30" customHeight="1" x14ac:dyDescent="0.25">
      <c r="A93" s="264"/>
      <c r="B93" s="315"/>
      <c r="C93" s="304"/>
      <c r="D93" s="17" t="s">
        <v>21</v>
      </c>
      <c r="E93" s="18">
        <f t="shared" si="34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36"/>
      <c r="W93" s="2"/>
      <c r="X93" s="2"/>
    </row>
    <row r="94" spans="1:24" ht="31.9" customHeight="1" x14ac:dyDescent="0.25">
      <c r="A94" s="268" t="s">
        <v>55</v>
      </c>
      <c r="B94" s="282" t="s">
        <v>171</v>
      </c>
      <c r="C94" s="30"/>
      <c r="D94" s="17" t="s">
        <v>29</v>
      </c>
      <c r="E94" s="18">
        <f t="shared" si="34"/>
        <v>45488.4</v>
      </c>
      <c r="F94" s="19"/>
      <c r="G94" s="19">
        <v>0</v>
      </c>
      <c r="H94" s="19">
        <v>0</v>
      </c>
      <c r="I94" s="19">
        <v>0</v>
      </c>
      <c r="J94" s="19">
        <f t="shared" ref="J94:Q94" si="37">SUM(J95:J97)</f>
        <v>4272.3999999999996</v>
      </c>
      <c r="K94" s="19">
        <f t="shared" si="37"/>
        <v>3460.7000000000003</v>
      </c>
      <c r="L94" s="19">
        <f t="shared" si="37"/>
        <v>3888.7999999999997</v>
      </c>
      <c r="M94" s="19">
        <f t="shared" si="37"/>
        <v>3851.7999999999997</v>
      </c>
      <c r="N94" s="19">
        <f t="shared" si="37"/>
        <v>4752</v>
      </c>
      <c r="O94" s="19">
        <f t="shared" si="37"/>
        <v>4483.3</v>
      </c>
      <c r="P94" s="19">
        <f t="shared" si="37"/>
        <v>6593.6</v>
      </c>
      <c r="Q94" s="19">
        <f t="shared" si="37"/>
        <v>6926.5</v>
      </c>
      <c r="R94" s="19">
        <f>SUM(R95:R97)</f>
        <v>7259.3</v>
      </c>
      <c r="S94" s="36"/>
      <c r="T94" s="36"/>
      <c r="U94" s="36"/>
      <c r="V94" s="36"/>
      <c r="W94" s="2">
        <v>4585</v>
      </c>
      <c r="X94" s="2"/>
    </row>
    <row r="95" spans="1:24" ht="25.5" customHeight="1" x14ac:dyDescent="0.25">
      <c r="A95" s="269"/>
      <c r="B95" s="283"/>
      <c r="C95" s="130"/>
      <c r="D95" s="17" t="s">
        <v>17</v>
      </c>
      <c r="E95" s="18">
        <f t="shared" si="34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36"/>
      <c r="W95" s="2"/>
      <c r="X95" s="2"/>
    </row>
    <row r="96" spans="1:24" ht="28.15" customHeight="1" x14ac:dyDescent="0.25">
      <c r="A96" s="269"/>
      <c r="B96" s="283"/>
      <c r="C96" s="130"/>
      <c r="D96" s="17" t="s">
        <v>18</v>
      </c>
      <c r="E96" s="18">
        <f t="shared" si="34"/>
        <v>42491.9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6">
        <f>4043.1+760.4-589.2</f>
        <v>4214.3</v>
      </c>
      <c r="P96" s="19">
        <f>4738.1+1459.9</f>
        <v>6198</v>
      </c>
      <c r="Q96" s="19">
        <f>4666.1+1844.9-0.1</f>
        <v>6510.9</v>
      </c>
      <c r="R96" s="19">
        <f>4666.1+2157.7</f>
        <v>6823.8</v>
      </c>
      <c r="S96" s="36"/>
      <c r="T96" s="36"/>
      <c r="U96" s="36"/>
      <c r="V96" s="36"/>
      <c r="W96" s="2"/>
      <c r="X96" s="2"/>
    </row>
    <row r="97" spans="1:24" ht="22.9" customHeight="1" x14ac:dyDescent="0.25">
      <c r="A97" s="269"/>
      <c r="B97" s="283"/>
      <c r="C97" s="130"/>
      <c r="D97" s="17" t="s">
        <v>19</v>
      </c>
      <c r="E97" s="18">
        <f t="shared" si="34"/>
        <v>2996.5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6">
        <f>258.1+48.5-37.6</f>
        <v>269</v>
      </c>
      <c r="P97" s="19">
        <f>302.4+93.2</f>
        <v>395.59999999999997</v>
      </c>
      <c r="Q97" s="19">
        <f>297.8+117.8</f>
        <v>415.6</v>
      </c>
      <c r="R97" s="19">
        <f>297.8+137.8-0.1</f>
        <v>435.5</v>
      </c>
      <c r="S97" s="36"/>
      <c r="T97" s="36"/>
      <c r="U97" s="36"/>
      <c r="V97" s="36"/>
      <c r="W97" s="2"/>
      <c r="X97" s="2"/>
    </row>
    <row r="98" spans="1:24" ht="30" customHeight="1" x14ac:dyDescent="0.25">
      <c r="A98" s="88"/>
      <c r="B98" s="284"/>
      <c r="C98" s="131"/>
      <c r="D98" s="17" t="s">
        <v>21</v>
      </c>
      <c r="E98" s="18">
        <f t="shared" si="34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36"/>
      <c r="W98" s="2"/>
      <c r="X98" s="2"/>
    </row>
    <row r="99" spans="1:24" ht="29.85" customHeight="1" x14ac:dyDescent="0.25">
      <c r="A99" s="325" t="s">
        <v>146</v>
      </c>
      <c r="B99" s="307" t="s">
        <v>147</v>
      </c>
      <c r="C99" s="132"/>
      <c r="D99" s="23" t="s">
        <v>29</v>
      </c>
      <c r="E99" s="18">
        <f t="shared" si="34"/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38">SUM(J100:J102)</f>
        <v>0</v>
      </c>
      <c r="K99" s="19">
        <f t="shared" si="38"/>
        <v>17799.400000000001</v>
      </c>
      <c r="L99" s="19">
        <f t="shared" si="38"/>
        <v>12828.999999999998</v>
      </c>
      <c r="M99" s="19">
        <f t="shared" si="38"/>
        <v>0</v>
      </c>
      <c r="N99" s="19">
        <f t="shared" si="38"/>
        <v>0</v>
      </c>
      <c r="O99" s="19">
        <f t="shared" si="38"/>
        <v>0</v>
      </c>
      <c r="P99" s="19">
        <f t="shared" si="38"/>
        <v>0</v>
      </c>
      <c r="Q99" s="19">
        <f t="shared" si="38"/>
        <v>0</v>
      </c>
      <c r="R99" s="19">
        <f>SUM(R100:R102)</f>
        <v>0</v>
      </c>
      <c r="S99" s="36"/>
      <c r="T99" s="36"/>
      <c r="U99" s="36"/>
      <c r="V99" s="36"/>
      <c r="W99" s="2"/>
      <c r="X99" s="2"/>
    </row>
    <row r="100" spans="1:24" ht="29.1" customHeight="1" x14ac:dyDescent="0.25">
      <c r="A100" s="337"/>
      <c r="B100" s="313"/>
      <c r="C100" s="132"/>
      <c r="D100" s="17" t="s">
        <v>17</v>
      </c>
      <c r="E100" s="18">
        <f t="shared" si="34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36"/>
      <c r="W100" s="2"/>
      <c r="X100" s="2"/>
    </row>
    <row r="101" spans="1:24" ht="24.4" customHeight="1" x14ac:dyDescent="0.25">
      <c r="A101" s="337"/>
      <c r="B101" s="313"/>
      <c r="C101" s="132"/>
      <c r="D101" s="17" t="s">
        <v>18</v>
      </c>
      <c r="E101" s="18">
        <f t="shared" si="34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36"/>
      <c r="W101" s="2"/>
      <c r="X101" s="2"/>
    </row>
    <row r="102" spans="1:24" ht="23.85" customHeight="1" x14ac:dyDescent="0.25">
      <c r="A102" s="337"/>
      <c r="B102" s="313"/>
      <c r="C102" s="132"/>
      <c r="D102" s="17" t="s">
        <v>19</v>
      </c>
      <c r="E102" s="18">
        <f t="shared" si="34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36"/>
      <c r="W102" s="2"/>
      <c r="X102" s="2"/>
    </row>
    <row r="103" spans="1:24" ht="26.25" customHeight="1" x14ac:dyDescent="0.25">
      <c r="A103" s="337"/>
      <c r="B103" s="313"/>
      <c r="C103" s="132"/>
      <c r="D103" s="17" t="s">
        <v>21</v>
      </c>
      <c r="E103" s="18">
        <f t="shared" si="34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36"/>
      <c r="W103" s="2"/>
      <c r="X103" s="2"/>
    </row>
    <row r="104" spans="1:24" ht="21" customHeight="1" x14ac:dyDescent="0.25">
      <c r="A104" s="354" t="s">
        <v>157</v>
      </c>
      <c r="B104" s="282" t="s">
        <v>158</v>
      </c>
      <c r="C104" s="130"/>
      <c r="D104" s="17" t="s">
        <v>29</v>
      </c>
      <c r="E104" s="18">
        <f t="shared" si="34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39">SUM(J105:J107)</f>
        <v>0</v>
      </c>
      <c r="K104" s="19">
        <f t="shared" si="39"/>
        <v>0</v>
      </c>
      <c r="L104" s="19">
        <f t="shared" si="39"/>
        <v>35457</v>
      </c>
      <c r="M104" s="19">
        <f t="shared" si="39"/>
        <v>6991.6</v>
      </c>
      <c r="N104" s="19">
        <f t="shared" si="39"/>
        <v>2805.9</v>
      </c>
      <c r="O104" s="19">
        <f t="shared" si="39"/>
        <v>0</v>
      </c>
      <c r="P104" s="19">
        <f t="shared" si="39"/>
        <v>10021.4</v>
      </c>
      <c r="Q104" s="19">
        <f t="shared" si="39"/>
        <v>0</v>
      </c>
      <c r="R104" s="19">
        <f>SUM(R105:R107)</f>
        <v>0</v>
      </c>
      <c r="S104" s="36"/>
      <c r="T104" s="36"/>
      <c r="U104" s="36"/>
      <c r="V104" s="36"/>
      <c r="W104" s="2">
        <v>6991.6</v>
      </c>
      <c r="X104" s="2"/>
    </row>
    <row r="105" spans="1:24" ht="20.25" customHeight="1" x14ac:dyDescent="0.25">
      <c r="A105" s="335"/>
      <c r="B105" s="301"/>
      <c r="C105" s="130"/>
      <c r="D105" s="17" t="s">
        <v>17</v>
      </c>
      <c r="E105" s="18">
        <f t="shared" si="34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36"/>
      <c r="W105" s="2"/>
      <c r="X105" s="2"/>
    </row>
    <row r="106" spans="1:24" ht="39.75" customHeight="1" x14ac:dyDescent="0.25">
      <c r="A106" s="335"/>
      <c r="B106" s="301"/>
      <c r="C106" s="131"/>
      <c r="D106" s="17" t="s">
        <v>18</v>
      </c>
      <c r="E106" s="18">
        <f t="shared" si="34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9">
        <v>9420.1</v>
      </c>
      <c r="Q106" s="19">
        <v>0</v>
      </c>
      <c r="R106" s="19">
        <v>0</v>
      </c>
      <c r="S106" s="36"/>
      <c r="T106" s="36"/>
      <c r="U106" s="36"/>
      <c r="V106" s="36"/>
      <c r="W106" s="2"/>
      <c r="X106" s="2"/>
    </row>
    <row r="107" spans="1:24" ht="20.25" customHeight="1" x14ac:dyDescent="0.25">
      <c r="A107" s="115"/>
      <c r="B107" s="301"/>
      <c r="C107" s="130"/>
      <c r="D107" s="23" t="s">
        <v>19</v>
      </c>
      <c r="E107" s="18">
        <f t="shared" si="34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25">
        <v>601.29999999999995</v>
      </c>
      <c r="Q107" s="25">
        <v>0</v>
      </c>
      <c r="R107" s="25">
        <v>0</v>
      </c>
      <c r="S107" s="36"/>
      <c r="T107" s="36"/>
      <c r="U107" s="36"/>
      <c r="V107" s="36"/>
      <c r="W107" s="2"/>
      <c r="X107" s="2"/>
    </row>
    <row r="108" spans="1:24" ht="30" customHeight="1" x14ac:dyDescent="0.25">
      <c r="A108" s="88"/>
      <c r="B108" s="315"/>
      <c r="C108" s="130"/>
      <c r="D108" s="17" t="s">
        <v>21</v>
      </c>
      <c r="E108" s="18">
        <f t="shared" si="34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36"/>
      <c r="W108" s="2"/>
      <c r="X108" s="2"/>
    </row>
    <row r="109" spans="1:24" ht="19.149999999999999" customHeight="1" x14ac:dyDescent="0.25">
      <c r="A109" s="355" t="s">
        <v>163</v>
      </c>
      <c r="B109" s="358" t="s">
        <v>164</v>
      </c>
      <c r="C109" s="130"/>
      <c r="D109" s="17" t="s">
        <v>29</v>
      </c>
      <c r="E109" s="18">
        <f t="shared" si="34"/>
        <v>311644.7</v>
      </c>
      <c r="F109" s="19"/>
      <c r="G109" s="19">
        <v>0</v>
      </c>
      <c r="H109" s="19">
        <v>0</v>
      </c>
      <c r="I109" s="19">
        <v>0</v>
      </c>
      <c r="J109" s="19">
        <f t="shared" ref="J109:Q109" si="40">SUM(J110:J112)</f>
        <v>0</v>
      </c>
      <c r="K109" s="19">
        <f t="shared" si="40"/>
        <v>0</v>
      </c>
      <c r="L109" s="19">
        <f t="shared" si="40"/>
        <v>10342</v>
      </c>
      <c r="M109" s="19">
        <f t="shared" si="40"/>
        <v>24225.8</v>
      </c>
      <c r="N109" s="19">
        <f t="shared" si="40"/>
        <v>38393.1</v>
      </c>
      <c r="O109" s="19">
        <f t="shared" si="40"/>
        <v>48033.8</v>
      </c>
      <c r="P109" s="19">
        <f t="shared" si="40"/>
        <v>90903.2</v>
      </c>
      <c r="Q109" s="19">
        <f t="shared" si="40"/>
        <v>61407.4</v>
      </c>
      <c r="R109" s="19">
        <f>SUM(R110:R112)</f>
        <v>38339.4</v>
      </c>
      <c r="S109" s="36"/>
      <c r="T109" s="36"/>
      <c r="U109" s="36"/>
      <c r="V109" s="36"/>
      <c r="W109" s="2">
        <v>59090.5</v>
      </c>
      <c r="X109" s="2"/>
    </row>
    <row r="110" spans="1:24" ht="23.85" customHeight="1" x14ac:dyDescent="0.25">
      <c r="A110" s="356"/>
      <c r="B110" s="359"/>
      <c r="C110" s="130"/>
      <c r="D110" s="17" t="s">
        <v>17</v>
      </c>
      <c r="E110" s="18">
        <f t="shared" si="34"/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36"/>
      <c r="W110" s="2"/>
      <c r="X110" s="2"/>
    </row>
    <row r="111" spans="1:24" ht="27.6" customHeight="1" x14ac:dyDescent="0.25">
      <c r="A111" s="356"/>
      <c r="B111" s="359"/>
      <c r="C111" s="130"/>
      <c r="D111" s="17" t="s">
        <v>18</v>
      </c>
      <c r="E111" s="18">
        <f t="shared" si="34"/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36"/>
      <c r="W111" s="2"/>
      <c r="X111" s="2"/>
    </row>
    <row r="112" spans="1:24" ht="21.6" customHeight="1" x14ac:dyDescent="0.25">
      <c r="A112" s="356"/>
      <c r="B112" s="359"/>
      <c r="C112" s="130"/>
      <c r="D112" s="17" t="s">
        <v>19</v>
      </c>
      <c r="E112" s="18">
        <f t="shared" si="34"/>
        <v>311644.7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9">
        <f>72836.6+108-25000+89.2</f>
        <v>48033.8</v>
      </c>
      <c r="P112" s="277">
        <f>45971.4+1300+28454+26934.6-11756.8</f>
        <v>90903.2</v>
      </c>
      <c r="Q112" s="19">
        <v>61407.4</v>
      </c>
      <c r="R112" s="19">
        <v>38339.4</v>
      </c>
      <c r="S112" s="36"/>
      <c r="T112" s="36"/>
      <c r="U112" s="36"/>
      <c r="V112" s="36"/>
      <c r="W112" s="2"/>
      <c r="X112" s="2"/>
    </row>
    <row r="113" spans="1:24" ht="23.85" customHeight="1" x14ac:dyDescent="0.25">
      <c r="A113" s="357"/>
      <c r="B113" s="276"/>
      <c r="C113" s="131"/>
      <c r="D113" s="17" t="s">
        <v>21</v>
      </c>
      <c r="E113" s="18">
        <f t="shared" si="34"/>
        <v>0</v>
      </c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36"/>
      <c r="W113" s="2"/>
      <c r="X113" s="2"/>
    </row>
    <row r="114" spans="1:24" s="4" customFormat="1" ht="36.6" hidden="1" customHeight="1" x14ac:dyDescent="0.25">
      <c r="A114" s="21"/>
      <c r="B114" s="31"/>
      <c r="C114" s="33"/>
      <c r="D114" s="34"/>
      <c r="E114" s="18">
        <f t="shared" si="34"/>
        <v>0</v>
      </c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78"/>
      <c r="R114" s="78"/>
      <c r="S114" s="36"/>
      <c r="T114" s="36"/>
      <c r="U114" s="36"/>
      <c r="V114" s="36"/>
      <c r="W114" s="76"/>
      <c r="X114" s="76"/>
    </row>
    <row r="115" spans="1:24" ht="35.65" customHeight="1" x14ac:dyDescent="0.25">
      <c r="A115" s="360" t="s">
        <v>241</v>
      </c>
      <c r="B115" s="282" t="s">
        <v>247</v>
      </c>
      <c r="C115" s="37"/>
      <c r="D115" s="17" t="s">
        <v>29</v>
      </c>
      <c r="E115" s="18">
        <f t="shared" si="34"/>
        <v>120960</v>
      </c>
      <c r="F115" s="19"/>
      <c r="G115" s="19">
        <v>0</v>
      </c>
      <c r="H115" s="19">
        <v>0</v>
      </c>
      <c r="I115" s="19">
        <v>0</v>
      </c>
      <c r="J115" s="19">
        <f t="shared" ref="J115:Q115" si="41">SUM(J116:J118)</f>
        <v>0</v>
      </c>
      <c r="K115" s="19">
        <f t="shared" si="41"/>
        <v>0</v>
      </c>
      <c r="L115" s="19">
        <f t="shared" si="41"/>
        <v>10000</v>
      </c>
      <c r="M115" s="19">
        <f>SUM(M116:M118)</f>
        <v>18780</v>
      </c>
      <c r="N115" s="19">
        <f t="shared" si="41"/>
        <v>19200</v>
      </c>
      <c r="O115" s="19">
        <f t="shared" si="41"/>
        <v>15380</v>
      </c>
      <c r="P115" s="19">
        <f t="shared" si="41"/>
        <v>19200</v>
      </c>
      <c r="Q115" s="19">
        <f t="shared" si="41"/>
        <v>19200</v>
      </c>
      <c r="R115" s="19">
        <f>SUM(R116:R118)</f>
        <v>19200</v>
      </c>
      <c r="S115" s="36"/>
      <c r="T115" s="36"/>
      <c r="U115" s="36"/>
      <c r="V115" s="36"/>
      <c r="W115" s="2"/>
      <c r="X115" s="2"/>
    </row>
    <row r="116" spans="1:24" ht="41.85" customHeight="1" x14ac:dyDescent="0.25">
      <c r="A116" s="360"/>
      <c r="B116" s="361"/>
      <c r="C116" s="37"/>
      <c r="D116" s="17" t="s">
        <v>17</v>
      </c>
      <c r="E116" s="18">
        <f t="shared" si="34"/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36"/>
      <c r="W116" s="2"/>
      <c r="X116" s="2"/>
    </row>
    <row r="117" spans="1:24" ht="26.25" customHeight="1" x14ac:dyDescent="0.25">
      <c r="A117" s="360"/>
      <c r="B117" s="361"/>
      <c r="C117" s="37"/>
      <c r="D117" s="17" t="s">
        <v>18</v>
      </c>
      <c r="E117" s="18">
        <f t="shared" si="34"/>
        <v>113493.2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9">
        <f>13536+4512-3800</f>
        <v>14248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36"/>
      <c r="W117" s="2"/>
      <c r="X117" s="2"/>
    </row>
    <row r="118" spans="1:24" ht="27.6" customHeight="1" x14ac:dyDescent="0.25">
      <c r="A118" s="360"/>
      <c r="B118" s="361"/>
      <c r="C118" s="37"/>
      <c r="D118" s="17" t="s">
        <v>19</v>
      </c>
      <c r="E118" s="18">
        <f t="shared" si="34"/>
        <v>7466.8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9">
        <f>864+288-20</f>
        <v>1132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36"/>
      <c r="W118" s="2"/>
      <c r="X118" s="2"/>
    </row>
    <row r="119" spans="1:24" ht="29.45" customHeight="1" x14ac:dyDescent="0.25">
      <c r="A119" s="360"/>
      <c r="B119" s="362"/>
      <c r="C119" s="37"/>
      <c r="D119" s="17" t="s">
        <v>21</v>
      </c>
      <c r="E119" s="18">
        <f t="shared" si="34"/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36"/>
      <c r="W119" s="2"/>
      <c r="X119" s="2"/>
    </row>
    <row r="120" spans="1:24" ht="26.85" customHeight="1" x14ac:dyDescent="0.25">
      <c r="A120" s="326" t="s">
        <v>166</v>
      </c>
      <c r="B120" s="363" t="s">
        <v>236</v>
      </c>
      <c r="C120" s="130"/>
      <c r="D120" s="17" t="s">
        <v>29</v>
      </c>
      <c r="E120" s="18">
        <f t="shared" si="34"/>
        <v>854678.9</v>
      </c>
      <c r="F120" s="19"/>
      <c r="G120" s="19">
        <v>0</v>
      </c>
      <c r="H120" s="19">
        <v>0</v>
      </c>
      <c r="I120" s="19">
        <v>0</v>
      </c>
      <c r="J120" s="19">
        <f t="shared" ref="J120:Q120" si="42">SUM(J121:J123)</f>
        <v>0</v>
      </c>
      <c r="K120" s="19">
        <f t="shared" si="42"/>
        <v>0</v>
      </c>
      <c r="L120" s="19">
        <f t="shared" si="42"/>
        <v>47172.4</v>
      </c>
      <c r="M120" s="19">
        <f t="shared" si="42"/>
        <v>140696.6</v>
      </c>
      <c r="N120" s="19">
        <f>SUM(N121:N123)</f>
        <v>133059</v>
      </c>
      <c r="O120" s="19">
        <f t="shared" si="42"/>
        <v>131796.5</v>
      </c>
      <c r="P120" s="19">
        <f t="shared" si="42"/>
        <v>133816.4</v>
      </c>
      <c r="Q120" s="19">
        <f t="shared" si="42"/>
        <v>134069</v>
      </c>
      <c r="R120" s="19">
        <f>SUM(R121:R123)</f>
        <v>134069</v>
      </c>
      <c r="S120" s="36"/>
      <c r="T120" s="36"/>
      <c r="U120" s="36"/>
      <c r="V120" s="36"/>
      <c r="W120" s="2">
        <v>141517.29999999999</v>
      </c>
      <c r="X120" s="2"/>
    </row>
    <row r="121" spans="1:24" ht="22.9" customHeight="1" x14ac:dyDescent="0.25">
      <c r="A121" s="285"/>
      <c r="B121" s="364"/>
      <c r="C121" s="130"/>
      <c r="D121" s="17" t="s">
        <v>17</v>
      </c>
      <c r="E121" s="18">
        <f t="shared" si="34"/>
        <v>618944.79999999993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9">
        <f>131358.8-2929.5-234.4-5859</f>
        <v>122335.9</v>
      </c>
      <c r="P121" s="19">
        <f>120226.7+8202.6-234.4-3984.1</f>
        <v>124210.8</v>
      </c>
      <c r="Q121" s="19">
        <f>128312.1-3866.9</f>
        <v>124445.20000000001</v>
      </c>
      <c r="R121" s="19">
        <f>124445.2</f>
        <v>124445.2</v>
      </c>
      <c r="S121" s="36"/>
      <c r="T121" s="36"/>
      <c r="U121" s="36"/>
      <c r="V121" s="36"/>
      <c r="W121" s="2"/>
      <c r="X121" s="2"/>
    </row>
    <row r="122" spans="1:24" ht="24.4" customHeight="1" x14ac:dyDescent="0.25">
      <c r="A122" s="285"/>
      <c r="B122" s="364"/>
      <c r="C122" s="130"/>
      <c r="D122" s="17" t="s">
        <v>18</v>
      </c>
      <c r="E122" s="18">
        <f t="shared" si="34"/>
        <v>235734.1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9">
        <f>8562+1369.9-18.2-453.1</f>
        <v>9460.5999999999985</v>
      </c>
      <c r="P122" s="19">
        <f>8562+1369.9-18.2-308.1</f>
        <v>9605.5999999999985</v>
      </c>
      <c r="Q122" s="19">
        <f>9922.8-299</f>
        <v>9623.7999999999993</v>
      </c>
      <c r="R122" s="19">
        <v>9623.7999999999993</v>
      </c>
      <c r="S122" s="36"/>
      <c r="T122" s="36"/>
      <c r="U122" s="36"/>
      <c r="V122" s="36"/>
      <c r="W122" s="2"/>
      <c r="X122" s="2"/>
    </row>
    <row r="123" spans="1:24" ht="24.95" customHeight="1" x14ac:dyDescent="0.25">
      <c r="A123" s="285"/>
      <c r="B123" s="364"/>
      <c r="C123" s="130"/>
      <c r="D123" s="17" t="s">
        <v>19</v>
      </c>
      <c r="E123" s="18">
        <f t="shared" si="34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36"/>
      <c r="W123" s="2"/>
      <c r="X123" s="2"/>
    </row>
    <row r="124" spans="1:24" ht="30.75" customHeight="1" x14ac:dyDescent="0.25">
      <c r="A124" s="285"/>
      <c r="B124" s="365"/>
      <c r="C124" s="131"/>
      <c r="D124" s="17" t="s">
        <v>21</v>
      </c>
      <c r="E124" s="18">
        <f t="shared" si="34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36"/>
      <c r="W124" s="2"/>
      <c r="X124" s="2"/>
    </row>
    <row r="125" spans="1:24" ht="24.95" customHeight="1" x14ac:dyDescent="0.25">
      <c r="A125" s="324" t="s">
        <v>168</v>
      </c>
      <c r="B125" s="282" t="s">
        <v>169</v>
      </c>
      <c r="C125" s="182"/>
      <c r="D125" s="17" t="s">
        <v>29</v>
      </c>
      <c r="E125" s="18">
        <f t="shared" si="34"/>
        <v>1021867.6000000001</v>
      </c>
      <c r="F125" s="19"/>
      <c r="G125" s="19">
        <v>0</v>
      </c>
      <c r="H125" s="19">
        <v>0</v>
      </c>
      <c r="I125" s="19">
        <v>0</v>
      </c>
      <c r="J125" s="19">
        <f t="shared" ref="J125:Q125" si="43">SUM(J126:J128)</f>
        <v>0</v>
      </c>
      <c r="K125" s="19">
        <f t="shared" si="43"/>
        <v>0</v>
      </c>
      <c r="L125" s="19">
        <f>SUM(L126:L128)</f>
        <v>67636</v>
      </c>
      <c r="M125" s="19">
        <f t="shared" si="43"/>
        <v>138862.29999999999</v>
      </c>
      <c r="N125" s="19">
        <f t="shared" si="43"/>
        <v>161576.29999999999</v>
      </c>
      <c r="O125" s="19">
        <f t="shared" si="43"/>
        <v>151554.20000000001</v>
      </c>
      <c r="P125" s="19">
        <f t="shared" si="43"/>
        <v>176663.2</v>
      </c>
      <c r="Q125" s="19">
        <f t="shared" si="43"/>
        <v>162787.80000000002</v>
      </c>
      <c r="R125" s="19">
        <f>SUM(R126:R128)</f>
        <v>162787.79999999999</v>
      </c>
      <c r="S125" s="36"/>
      <c r="T125" s="36"/>
      <c r="U125" s="36"/>
      <c r="V125" s="36"/>
      <c r="W125" s="2">
        <v>138862.29999999999</v>
      </c>
      <c r="X125" s="2"/>
    </row>
    <row r="126" spans="1:24" ht="26.85" customHeight="1" x14ac:dyDescent="0.25">
      <c r="A126" s="327"/>
      <c r="B126" s="283"/>
      <c r="C126" s="182"/>
      <c r="D126" s="17" t="s">
        <v>17</v>
      </c>
      <c r="E126" s="18">
        <f t="shared" si="34"/>
        <v>813769.60000000009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9">
        <f>150207.1+7894.2-6547.1</f>
        <v>151554.20000000001</v>
      </c>
      <c r="P126" s="19">
        <f>150629.1+7472.2+18561.9</f>
        <v>176663.2</v>
      </c>
      <c r="Q126" s="19">
        <f>154246+0.1+8541.7</f>
        <v>162787.80000000002</v>
      </c>
      <c r="R126" s="19">
        <v>162787.79999999999</v>
      </c>
      <c r="S126" s="36"/>
      <c r="T126" s="36"/>
      <c r="U126" s="36"/>
      <c r="V126" s="36"/>
      <c r="W126" s="2"/>
      <c r="X126" s="2"/>
    </row>
    <row r="127" spans="1:24" ht="27.6" customHeight="1" x14ac:dyDescent="0.25">
      <c r="A127" s="251"/>
      <c r="B127" s="283"/>
      <c r="C127" s="182"/>
      <c r="D127" s="17" t="s">
        <v>18</v>
      </c>
      <c r="E127" s="18">
        <f t="shared" si="34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36"/>
      <c r="W127" s="2"/>
      <c r="X127" s="2"/>
    </row>
    <row r="128" spans="1:24" ht="32.1" customHeight="1" x14ac:dyDescent="0.25">
      <c r="A128" s="251"/>
      <c r="B128" s="283"/>
      <c r="C128" s="183"/>
      <c r="D128" s="17" t="s">
        <v>19</v>
      </c>
      <c r="E128" s="18">
        <f t="shared" si="34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36"/>
      <c r="W128" s="2"/>
      <c r="X128" s="2"/>
    </row>
    <row r="129" spans="1:24" ht="37.5" customHeight="1" x14ac:dyDescent="0.25">
      <c r="A129" s="253"/>
      <c r="B129" s="284"/>
      <c r="C129" s="182"/>
      <c r="D129" s="23" t="s">
        <v>21</v>
      </c>
      <c r="E129" s="18">
        <f t="shared" si="34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36"/>
      <c r="W129" s="2"/>
      <c r="X129" s="2"/>
    </row>
    <row r="130" spans="1:24" ht="26.85" customHeight="1" x14ac:dyDescent="0.25">
      <c r="A130" s="324" t="s">
        <v>175</v>
      </c>
      <c r="B130" s="282" t="s">
        <v>176</v>
      </c>
      <c r="C130" s="132"/>
      <c r="D130" s="17" t="s">
        <v>29</v>
      </c>
      <c r="E130" s="18">
        <f t="shared" si="34"/>
        <v>4238.8999999999996</v>
      </c>
      <c r="F130" s="19"/>
      <c r="G130" s="19">
        <v>0</v>
      </c>
      <c r="H130" s="19">
        <v>0</v>
      </c>
      <c r="I130" s="19">
        <v>0</v>
      </c>
      <c r="J130" s="19">
        <f t="shared" ref="J130:Q130" si="44">SUM(J131:J133)</f>
        <v>0</v>
      </c>
      <c r="K130" s="19">
        <f t="shared" si="44"/>
        <v>0</v>
      </c>
      <c r="L130" s="19">
        <f t="shared" si="44"/>
        <v>1954.2</v>
      </c>
      <c r="M130" s="19">
        <f t="shared" si="44"/>
        <v>200</v>
      </c>
      <c r="N130" s="19">
        <f t="shared" si="44"/>
        <v>688.9</v>
      </c>
      <c r="O130" s="19">
        <f t="shared" si="44"/>
        <v>390</v>
      </c>
      <c r="P130" s="19">
        <f t="shared" si="44"/>
        <v>320.10000000000002</v>
      </c>
      <c r="Q130" s="19">
        <f t="shared" si="44"/>
        <v>422.1</v>
      </c>
      <c r="R130" s="19">
        <f>SUM(R131:R133)</f>
        <v>263.60000000000002</v>
      </c>
      <c r="S130" s="36"/>
      <c r="T130" s="36"/>
      <c r="U130" s="36"/>
      <c r="V130" s="36"/>
      <c r="W130" s="2">
        <v>200</v>
      </c>
      <c r="X130" s="2"/>
    </row>
    <row r="131" spans="1:24" ht="30.75" customHeight="1" x14ac:dyDescent="0.25">
      <c r="A131" s="337"/>
      <c r="B131" s="301"/>
      <c r="C131" s="132"/>
      <c r="D131" s="17" t="s">
        <v>17</v>
      </c>
      <c r="E131" s="18">
        <f t="shared" si="34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36"/>
      <c r="W131" s="2"/>
      <c r="X131" s="2"/>
    </row>
    <row r="132" spans="1:24" ht="37.35" customHeight="1" x14ac:dyDescent="0.25">
      <c r="A132" s="337"/>
      <c r="B132" s="301"/>
      <c r="C132" s="132"/>
      <c r="D132" s="17" t="s">
        <v>18</v>
      </c>
      <c r="E132" s="18">
        <f t="shared" si="34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36"/>
      <c r="W132" s="2"/>
      <c r="X132" s="2"/>
    </row>
    <row r="133" spans="1:24" ht="30" customHeight="1" x14ac:dyDescent="0.25">
      <c r="A133" s="337"/>
      <c r="B133" s="301"/>
      <c r="C133" s="132"/>
      <c r="D133" s="17" t="s">
        <v>19</v>
      </c>
      <c r="E133" s="18">
        <f t="shared" si="34"/>
        <v>4238.8999999999996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36"/>
      <c r="W133" s="2"/>
      <c r="X133" s="2"/>
    </row>
    <row r="134" spans="1:24" ht="76.150000000000006" customHeight="1" x14ac:dyDescent="0.25">
      <c r="A134" s="353"/>
      <c r="B134" s="315"/>
      <c r="C134" s="132"/>
      <c r="D134" s="17" t="s">
        <v>21</v>
      </c>
      <c r="E134" s="18">
        <f t="shared" si="34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36"/>
      <c r="W134" s="2"/>
      <c r="X134" s="2"/>
    </row>
    <row r="135" spans="1:24" ht="25.5" customHeight="1" x14ac:dyDescent="0.25">
      <c r="A135" s="354" t="s">
        <v>180</v>
      </c>
      <c r="B135" s="282" t="s">
        <v>182</v>
      </c>
      <c r="C135" s="130"/>
      <c r="D135" s="17" t="s">
        <v>29</v>
      </c>
      <c r="E135" s="18">
        <f t="shared" si="34"/>
        <v>415766.30000000005</v>
      </c>
      <c r="F135" s="19"/>
      <c r="G135" s="19">
        <v>0</v>
      </c>
      <c r="H135" s="19">
        <v>0</v>
      </c>
      <c r="I135" s="19">
        <v>0</v>
      </c>
      <c r="J135" s="19">
        <f t="shared" ref="J135:Q135" si="45">SUM(J136:J138)</f>
        <v>0</v>
      </c>
      <c r="K135" s="19">
        <f t="shared" si="45"/>
        <v>0</v>
      </c>
      <c r="L135" s="19">
        <f t="shared" si="45"/>
        <v>0</v>
      </c>
      <c r="M135" s="19">
        <f t="shared" si="45"/>
        <v>53172.200000000004</v>
      </c>
      <c r="N135" s="19">
        <f t="shared" si="45"/>
        <v>69017.600000000006</v>
      </c>
      <c r="O135" s="19">
        <f t="shared" si="45"/>
        <v>71726.299999999988</v>
      </c>
      <c r="P135" s="19">
        <f t="shared" si="45"/>
        <v>73083.399999999994</v>
      </c>
      <c r="Q135" s="19">
        <f t="shared" si="45"/>
        <v>74383.399999999994</v>
      </c>
      <c r="R135" s="19">
        <f>SUM(R136:R138)</f>
        <v>74383.399999999994</v>
      </c>
      <c r="S135" s="36"/>
      <c r="T135" s="36"/>
      <c r="U135" s="36"/>
      <c r="V135" s="36"/>
      <c r="W135" s="2">
        <v>33979.800000000003</v>
      </c>
      <c r="X135" s="2"/>
    </row>
    <row r="136" spans="1:24" ht="32.85" customHeight="1" x14ac:dyDescent="0.25">
      <c r="A136" s="335"/>
      <c r="B136" s="301"/>
      <c r="C136" s="130"/>
      <c r="D136" s="17" t="s">
        <v>17</v>
      </c>
      <c r="E136" s="18">
        <f t="shared" si="34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36"/>
      <c r="W136" s="2"/>
      <c r="X136" s="2"/>
    </row>
    <row r="137" spans="1:24" ht="34.9" customHeight="1" x14ac:dyDescent="0.25">
      <c r="A137" s="335"/>
      <c r="B137" s="301"/>
      <c r="C137" s="131"/>
      <c r="D137" s="17" t="s">
        <v>18</v>
      </c>
      <c r="E137" s="18">
        <f t="shared" si="34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36"/>
      <c r="W137" s="2"/>
      <c r="X137" s="2"/>
    </row>
    <row r="138" spans="1:24" ht="31.7" customHeight="1" x14ac:dyDescent="0.25">
      <c r="A138" s="115"/>
      <c r="B138" s="107"/>
      <c r="C138" s="131"/>
      <c r="D138" s="23" t="s">
        <v>19</v>
      </c>
      <c r="E138" s="18">
        <f t="shared" si="34"/>
        <v>415766.30000000005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f>74383.4-1300</f>
        <v>73083.399999999994</v>
      </c>
      <c r="Q138" s="25">
        <v>74383.399999999994</v>
      </c>
      <c r="R138" s="25">
        <v>74383.399999999994</v>
      </c>
      <c r="S138" s="36"/>
      <c r="T138" s="36"/>
      <c r="U138" s="36"/>
      <c r="V138" s="36"/>
      <c r="W138" s="2"/>
      <c r="X138" s="2"/>
    </row>
    <row r="139" spans="1:24" ht="28.15" customHeight="1" x14ac:dyDescent="0.25">
      <c r="A139" s="115"/>
      <c r="B139" s="107"/>
      <c r="C139" s="130"/>
      <c r="D139" s="23" t="s">
        <v>21</v>
      </c>
      <c r="E139" s="18">
        <f t="shared" si="34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36"/>
      <c r="W139" s="2"/>
      <c r="X139" s="2"/>
    </row>
    <row r="140" spans="1:24" ht="33.4" customHeight="1" x14ac:dyDescent="0.25">
      <c r="A140" s="217" t="s">
        <v>183</v>
      </c>
      <c r="B140" s="282" t="s">
        <v>190</v>
      </c>
      <c r="C140" s="130"/>
      <c r="D140" s="17" t="s">
        <v>29</v>
      </c>
      <c r="E140" s="18">
        <f t="shared" si="34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46">SUM(J141:J143)</f>
        <v>0</v>
      </c>
      <c r="K140" s="19">
        <f t="shared" si="46"/>
        <v>0</v>
      </c>
      <c r="L140" s="19">
        <f t="shared" si="46"/>
        <v>0</v>
      </c>
      <c r="M140" s="19">
        <f t="shared" si="46"/>
        <v>812</v>
      </c>
      <c r="N140" s="19">
        <f t="shared" si="46"/>
        <v>0</v>
      </c>
      <c r="O140" s="19">
        <f t="shared" si="46"/>
        <v>0</v>
      </c>
      <c r="P140" s="19">
        <f t="shared" si="46"/>
        <v>0</v>
      </c>
      <c r="Q140" s="19">
        <f t="shared" si="46"/>
        <v>0</v>
      </c>
      <c r="R140" s="19">
        <f>SUM(R141:R143)</f>
        <v>0</v>
      </c>
      <c r="S140" s="36"/>
      <c r="T140" s="36"/>
      <c r="U140" s="36"/>
      <c r="V140" s="36"/>
      <c r="W140" s="2">
        <v>812</v>
      </c>
      <c r="X140" s="2"/>
    </row>
    <row r="141" spans="1:24" ht="33.4" customHeight="1" x14ac:dyDescent="0.25">
      <c r="A141" s="221"/>
      <c r="B141" s="301"/>
      <c r="C141" s="130"/>
      <c r="D141" s="17" t="s">
        <v>17</v>
      </c>
      <c r="E141" s="18">
        <f t="shared" si="34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36"/>
      <c r="W141" s="2"/>
      <c r="X141" s="2"/>
    </row>
    <row r="142" spans="1:24" ht="33.4" customHeight="1" x14ac:dyDescent="0.25">
      <c r="A142" s="221"/>
      <c r="B142" s="301"/>
      <c r="C142" s="131"/>
      <c r="D142" s="17" t="s">
        <v>18</v>
      </c>
      <c r="E142" s="18">
        <f t="shared" si="34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36"/>
      <c r="W142" s="2"/>
      <c r="X142" s="2"/>
    </row>
    <row r="143" spans="1:24" ht="52.35" customHeight="1" x14ac:dyDescent="0.25">
      <c r="A143" s="221"/>
      <c r="B143" s="207"/>
      <c r="C143" s="131"/>
      <c r="D143" s="23" t="s">
        <v>19</v>
      </c>
      <c r="E143" s="18">
        <f t="shared" si="34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36"/>
      <c r="W143" s="2"/>
      <c r="X143" s="2"/>
    </row>
    <row r="144" spans="1:24" ht="44.25" customHeight="1" x14ac:dyDescent="0.25">
      <c r="A144" s="88"/>
      <c r="B144" s="208"/>
      <c r="C144" s="130"/>
      <c r="D144" s="23" t="s">
        <v>21</v>
      </c>
      <c r="E144" s="18">
        <f t="shared" si="34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36"/>
      <c r="W144" s="2"/>
      <c r="X144" s="2"/>
    </row>
    <row r="145" spans="1:24" ht="51" customHeight="1" x14ac:dyDescent="0.25">
      <c r="A145" s="243" t="s">
        <v>198</v>
      </c>
      <c r="B145" s="282" t="s">
        <v>199</v>
      </c>
      <c r="C145" s="130"/>
      <c r="D145" s="17" t="s">
        <v>29</v>
      </c>
      <c r="E145" s="18">
        <f t="shared" si="34"/>
        <v>742.3</v>
      </c>
      <c r="F145" s="19"/>
      <c r="G145" s="19">
        <v>0</v>
      </c>
      <c r="H145" s="19">
        <v>0</v>
      </c>
      <c r="I145" s="19">
        <v>0</v>
      </c>
      <c r="J145" s="19">
        <f t="shared" ref="J145:Q145" si="47">SUM(J146:J148)</f>
        <v>0</v>
      </c>
      <c r="K145" s="19">
        <f t="shared" si="47"/>
        <v>0</v>
      </c>
      <c r="L145" s="19">
        <f t="shared" si="47"/>
        <v>0</v>
      </c>
      <c r="M145" s="19">
        <f t="shared" si="47"/>
        <v>0</v>
      </c>
      <c r="N145" s="19">
        <f t="shared" si="47"/>
        <v>190.89999999999998</v>
      </c>
      <c r="O145" s="19">
        <f t="shared" si="47"/>
        <v>0</v>
      </c>
      <c r="P145" s="19">
        <f t="shared" si="47"/>
        <v>183.8</v>
      </c>
      <c r="Q145" s="19">
        <f t="shared" si="47"/>
        <v>183.8</v>
      </c>
      <c r="R145" s="19">
        <f>SUM(R146:R148)</f>
        <v>183.8</v>
      </c>
      <c r="S145" s="36"/>
      <c r="T145" s="36"/>
      <c r="U145" s="36"/>
      <c r="V145" s="36"/>
      <c r="W145" s="2"/>
      <c r="X145" s="2"/>
    </row>
    <row r="146" spans="1:24" ht="53.25" customHeight="1" x14ac:dyDescent="0.25">
      <c r="A146" s="239"/>
      <c r="B146" s="361"/>
      <c r="C146" s="130"/>
      <c r="D146" s="17" t="s">
        <v>17</v>
      </c>
      <c r="E146" s="18">
        <f t="shared" si="34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36"/>
      <c r="W146" s="2"/>
      <c r="X146" s="2"/>
    </row>
    <row r="147" spans="1:24" ht="45.95" customHeight="1" x14ac:dyDescent="0.25">
      <c r="A147" s="244"/>
      <c r="B147" s="362"/>
      <c r="C147" s="130"/>
      <c r="D147" s="17" t="s">
        <v>18</v>
      </c>
      <c r="E147" s="18">
        <f t="shared" si="34"/>
        <v>742.3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6">
        <f>664.6-325.2-339.4</f>
        <v>0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36"/>
      <c r="W147" s="2"/>
      <c r="X147" s="2"/>
    </row>
    <row r="148" spans="1:24" ht="52.35" customHeight="1" x14ac:dyDescent="0.25">
      <c r="A148" s="186"/>
      <c r="B148" s="218"/>
      <c r="C148" s="130"/>
      <c r="D148" s="17" t="s">
        <v>19</v>
      </c>
      <c r="E148" s="18">
        <f t="shared" si="34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36"/>
      <c r="W148" s="2"/>
      <c r="X148" s="2"/>
    </row>
    <row r="149" spans="1:24" ht="37.35" customHeight="1" x14ac:dyDescent="0.25">
      <c r="A149" s="88"/>
      <c r="B149" s="219"/>
      <c r="C149" s="130"/>
      <c r="D149" s="23" t="s">
        <v>21</v>
      </c>
      <c r="E149" s="18">
        <f t="shared" si="34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36"/>
      <c r="W149" s="2"/>
      <c r="X149" s="2"/>
    </row>
    <row r="150" spans="1:24" ht="38.85" customHeight="1" x14ac:dyDescent="0.25">
      <c r="A150" s="114" t="s">
        <v>202</v>
      </c>
      <c r="B150" s="282" t="s">
        <v>203</v>
      </c>
      <c r="C150" s="130"/>
      <c r="D150" s="17" t="s">
        <v>29</v>
      </c>
      <c r="E150" s="18">
        <f t="shared" ref="E150:E174" si="48">SUM(F150:R150)</f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49">SUM(J151:J153)</f>
        <v>0</v>
      </c>
      <c r="K150" s="19">
        <f t="shared" si="49"/>
        <v>0</v>
      </c>
      <c r="L150" s="19">
        <f t="shared" si="49"/>
        <v>0</v>
      </c>
      <c r="M150" s="19">
        <f t="shared" si="49"/>
        <v>0</v>
      </c>
      <c r="N150" s="19">
        <f t="shared" si="49"/>
        <v>1489.2</v>
      </c>
      <c r="O150" s="19">
        <f t="shared" si="49"/>
        <v>0</v>
      </c>
      <c r="P150" s="19">
        <f t="shared" si="49"/>
        <v>0</v>
      </c>
      <c r="Q150" s="19">
        <f t="shared" si="49"/>
        <v>0</v>
      </c>
      <c r="R150" s="19">
        <f>SUM(R151:R153)</f>
        <v>0</v>
      </c>
      <c r="S150" s="36"/>
      <c r="T150" s="36"/>
      <c r="U150" s="36"/>
      <c r="V150" s="36"/>
      <c r="W150" s="2"/>
      <c r="X150" s="2"/>
    </row>
    <row r="151" spans="1:24" ht="39.4" customHeight="1" x14ac:dyDescent="0.25">
      <c r="A151" s="115"/>
      <c r="B151" s="301"/>
      <c r="C151" s="130"/>
      <c r="D151" s="17" t="s">
        <v>17</v>
      </c>
      <c r="E151" s="18">
        <f t="shared" si="48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36"/>
      <c r="W151" s="2"/>
      <c r="X151" s="2"/>
    </row>
    <row r="152" spans="1:24" ht="40.700000000000003" customHeight="1" x14ac:dyDescent="0.25">
      <c r="A152" s="115"/>
      <c r="B152" s="301"/>
      <c r="C152" s="130"/>
      <c r="D152" s="17" t="s">
        <v>18</v>
      </c>
      <c r="E152" s="18">
        <f t="shared" si="48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36"/>
      <c r="W152" s="2"/>
      <c r="X152" s="2"/>
    </row>
    <row r="153" spans="1:24" ht="35.65" customHeight="1" x14ac:dyDescent="0.25">
      <c r="A153" s="115"/>
      <c r="B153" s="301"/>
      <c r="C153" s="130"/>
      <c r="D153" s="17" t="s">
        <v>19</v>
      </c>
      <c r="E153" s="18">
        <f t="shared" si="48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36"/>
      <c r="W153" s="2"/>
      <c r="X153" s="2"/>
    </row>
    <row r="154" spans="1:24" ht="44.25" customHeight="1" x14ac:dyDescent="0.25">
      <c r="A154" s="88"/>
      <c r="B154" s="315"/>
      <c r="C154" s="130"/>
      <c r="D154" s="23" t="s">
        <v>21</v>
      </c>
      <c r="E154" s="18">
        <f t="shared" si="48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36"/>
      <c r="W154" s="2"/>
      <c r="X154" s="2"/>
    </row>
    <row r="155" spans="1:24" ht="111.4" customHeight="1" x14ac:dyDescent="0.25">
      <c r="A155" s="114" t="s">
        <v>204</v>
      </c>
      <c r="B155" s="316" t="s">
        <v>205</v>
      </c>
      <c r="C155" s="130"/>
      <c r="D155" s="17" t="s">
        <v>29</v>
      </c>
      <c r="E155" s="18">
        <f t="shared" si="48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50">SUM(J156:J158)</f>
        <v>0</v>
      </c>
      <c r="K155" s="19">
        <f t="shared" si="50"/>
        <v>0</v>
      </c>
      <c r="L155" s="19">
        <f t="shared" si="50"/>
        <v>0</v>
      </c>
      <c r="M155" s="19">
        <f t="shared" si="50"/>
        <v>0</v>
      </c>
      <c r="N155" s="19">
        <f t="shared" si="50"/>
        <v>42.800000000000011</v>
      </c>
      <c r="O155" s="19">
        <f t="shared" si="50"/>
        <v>0</v>
      </c>
      <c r="P155" s="19">
        <f t="shared" si="50"/>
        <v>0</v>
      </c>
      <c r="Q155" s="19">
        <f t="shared" si="50"/>
        <v>0</v>
      </c>
      <c r="R155" s="19">
        <f>SUM(R156:R158)</f>
        <v>0</v>
      </c>
      <c r="S155" s="36"/>
      <c r="T155" s="36"/>
      <c r="U155" s="36"/>
      <c r="V155" s="36"/>
      <c r="W155" s="2"/>
      <c r="X155" s="2"/>
    </row>
    <row r="156" spans="1:24" ht="60.4" customHeight="1" x14ac:dyDescent="0.25">
      <c r="A156" s="115"/>
      <c r="B156" s="317"/>
      <c r="C156" s="130"/>
      <c r="D156" s="17" t="s">
        <v>17</v>
      </c>
      <c r="E156" s="18">
        <f t="shared" si="48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36"/>
      <c r="W156" s="2"/>
      <c r="X156" s="2"/>
    </row>
    <row r="157" spans="1:24" ht="49.15" customHeight="1" x14ac:dyDescent="0.25">
      <c r="A157" s="115"/>
      <c r="B157" s="317"/>
      <c r="C157" s="130"/>
      <c r="D157" s="17" t="s">
        <v>18</v>
      </c>
      <c r="E157" s="18">
        <f t="shared" si="48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36"/>
      <c r="W157" s="2"/>
      <c r="X157" s="2"/>
    </row>
    <row r="158" spans="1:24" ht="87" customHeight="1" x14ac:dyDescent="0.25">
      <c r="A158" s="115"/>
      <c r="B158" s="317"/>
      <c r="C158" s="130"/>
      <c r="D158" s="17" t="s">
        <v>19</v>
      </c>
      <c r="E158" s="18">
        <f t="shared" si="48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36"/>
      <c r="W158" s="2"/>
      <c r="X158" s="2"/>
    </row>
    <row r="159" spans="1:24" ht="95.85" customHeight="1" x14ac:dyDescent="0.25">
      <c r="A159" s="129"/>
      <c r="B159" s="318"/>
      <c r="C159" s="131"/>
      <c r="D159" s="23" t="s">
        <v>21</v>
      </c>
      <c r="E159" s="18">
        <f t="shared" si="48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36"/>
      <c r="W159" s="2"/>
      <c r="X159" s="2"/>
    </row>
    <row r="160" spans="1:24" ht="38.85" customHeight="1" x14ac:dyDescent="0.25">
      <c r="A160" s="189" t="s">
        <v>206</v>
      </c>
      <c r="B160" s="319" t="s">
        <v>207</v>
      </c>
      <c r="C160" s="182"/>
      <c r="D160" s="23" t="s">
        <v>29</v>
      </c>
      <c r="E160" s="18">
        <f t="shared" si="48"/>
        <v>66599.499999999985</v>
      </c>
      <c r="F160" s="19"/>
      <c r="G160" s="19">
        <v>0</v>
      </c>
      <c r="H160" s="19">
        <v>0</v>
      </c>
      <c r="I160" s="19">
        <v>0</v>
      </c>
      <c r="J160" s="19">
        <f t="shared" ref="J160:Q160" si="51">SUM(J161:J163)</f>
        <v>0</v>
      </c>
      <c r="K160" s="19">
        <f t="shared" si="51"/>
        <v>0</v>
      </c>
      <c r="L160" s="19">
        <f t="shared" si="51"/>
        <v>0</v>
      </c>
      <c r="M160" s="19">
        <f t="shared" si="51"/>
        <v>0</v>
      </c>
      <c r="N160" s="19">
        <f t="shared" si="51"/>
        <v>0</v>
      </c>
      <c r="O160" s="19">
        <f t="shared" si="51"/>
        <v>9800.7999999999993</v>
      </c>
      <c r="P160" s="19">
        <f t="shared" si="51"/>
        <v>18932.899999999998</v>
      </c>
      <c r="Q160" s="19">
        <f t="shared" si="51"/>
        <v>18932.899999999998</v>
      </c>
      <c r="R160" s="19">
        <f>SUM(R161:R163)</f>
        <v>18932.899999999998</v>
      </c>
      <c r="S160" s="36"/>
      <c r="T160" s="36"/>
      <c r="U160" s="36"/>
      <c r="V160" s="36"/>
      <c r="W160" s="2"/>
      <c r="X160" s="2"/>
    </row>
    <row r="161" spans="1:55" ht="44.65" customHeight="1" x14ac:dyDescent="0.25">
      <c r="A161" s="186"/>
      <c r="B161" s="296"/>
      <c r="C161" s="182"/>
      <c r="D161" s="17" t="s">
        <v>17</v>
      </c>
      <c r="E161" s="18">
        <f t="shared" si="48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36"/>
      <c r="W161" s="2"/>
      <c r="X161" s="2"/>
    </row>
    <row r="162" spans="1:55" ht="38.1" customHeight="1" x14ac:dyDescent="0.25">
      <c r="A162" s="186"/>
      <c r="B162" s="296"/>
      <c r="C162" s="182"/>
      <c r="D162" s="17" t="s">
        <v>18</v>
      </c>
      <c r="E162" s="18">
        <f t="shared" si="48"/>
        <v>66599.499999999985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6">
        <f>20306.1-3874.6-6630.7</f>
        <v>9800.7999999999993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36"/>
      <c r="W162" s="2"/>
      <c r="X162" s="2"/>
    </row>
    <row r="163" spans="1:55" ht="42.4" customHeight="1" x14ac:dyDescent="0.25">
      <c r="A163" s="186"/>
      <c r="B163" s="296"/>
      <c r="C163" s="182"/>
      <c r="D163" s="17" t="s">
        <v>19</v>
      </c>
      <c r="E163" s="18">
        <f t="shared" si="48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36"/>
      <c r="W163" s="2"/>
      <c r="X163" s="2"/>
    </row>
    <row r="164" spans="1:55" ht="104.25" customHeight="1" x14ac:dyDescent="0.25">
      <c r="A164" s="88"/>
      <c r="B164" s="297"/>
      <c r="C164" s="182"/>
      <c r="D164" s="23" t="s">
        <v>21</v>
      </c>
      <c r="E164" s="18">
        <f t="shared" si="48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36"/>
      <c r="W164" s="2"/>
      <c r="X164" s="2"/>
    </row>
    <row r="165" spans="1:55" ht="66.75" customHeight="1" x14ac:dyDescent="0.25">
      <c r="A165" s="189" t="s">
        <v>215</v>
      </c>
      <c r="B165" s="300" t="s">
        <v>219</v>
      </c>
      <c r="C165" s="130"/>
      <c r="D165" s="23" t="s">
        <v>29</v>
      </c>
      <c r="E165" s="18">
        <f t="shared" si="48"/>
        <v>4260.2</v>
      </c>
      <c r="F165" s="19"/>
      <c r="G165" s="19">
        <v>0</v>
      </c>
      <c r="H165" s="19">
        <v>0</v>
      </c>
      <c r="I165" s="19">
        <v>0</v>
      </c>
      <c r="J165" s="19">
        <f t="shared" ref="J165:Q165" si="52">SUM(J166:J168)</f>
        <v>0</v>
      </c>
      <c r="K165" s="19">
        <f t="shared" si="52"/>
        <v>0</v>
      </c>
      <c r="L165" s="19">
        <f t="shared" si="52"/>
        <v>0</v>
      </c>
      <c r="M165" s="19">
        <f t="shared" si="52"/>
        <v>0</v>
      </c>
      <c r="N165" s="19">
        <f t="shared" si="52"/>
        <v>0</v>
      </c>
      <c r="O165" s="19">
        <f t="shared" si="52"/>
        <v>1999.1999999999998</v>
      </c>
      <c r="P165" s="19">
        <f t="shared" si="52"/>
        <v>2261</v>
      </c>
      <c r="Q165" s="19">
        <f t="shared" si="52"/>
        <v>0</v>
      </c>
      <c r="R165" s="19">
        <f>SUM(R166:R168)</f>
        <v>0</v>
      </c>
      <c r="S165" s="36"/>
      <c r="T165" s="36"/>
      <c r="U165" s="36"/>
      <c r="V165" s="36"/>
      <c r="W165" s="2"/>
      <c r="X165" s="2"/>
    </row>
    <row r="166" spans="1:55" ht="57" customHeight="1" x14ac:dyDescent="0.25">
      <c r="A166" s="186"/>
      <c r="B166" s="296"/>
      <c r="C166" s="130"/>
      <c r="D166" s="17" t="s">
        <v>17</v>
      </c>
      <c r="E166" s="18">
        <f t="shared" si="48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36"/>
      <c r="W166" s="2"/>
      <c r="X166" s="2"/>
    </row>
    <row r="167" spans="1:55" ht="49.7" customHeight="1" x14ac:dyDescent="0.25">
      <c r="A167" s="186"/>
      <c r="B167" s="296"/>
      <c r="C167" s="130"/>
      <c r="D167" s="17" t="s">
        <v>18</v>
      </c>
      <c r="E167" s="18">
        <f t="shared" si="48"/>
        <v>4260.2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f>5726.3-1442.3-2284.8</f>
        <v>1999.1999999999998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36"/>
      <c r="W167" s="2"/>
      <c r="X167" s="2"/>
    </row>
    <row r="168" spans="1:55" ht="42.6" customHeight="1" x14ac:dyDescent="0.25">
      <c r="A168" s="186"/>
      <c r="B168" s="296"/>
      <c r="C168" s="130"/>
      <c r="D168" s="17" t="s">
        <v>19</v>
      </c>
      <c r="E168" s="18">
        <f t="shared" si="48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36"/>
      <c r="W168" s="2"/>
      <c r="X168" s="2"/>
    </row>
    <row r="169" spans="1:55" ht="64.150000000000006" customHeight="1" x14ac:dyDescent="0.25">
      <c r="A169" s="88"/>
      <c r="B169" s="297"/>
      <c r="C169" s="130"/>
      <c r="D169" s="23" t="s">
        <v>21</v>
      </c>
      <c r="E169" s="18">
        <f t="shared" si="48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36"/>
      <c r="W169" s="2"/>
      <c r="X169" s="2"/>
    </row>
    <row r="170" spans="1:55" ht="47.1" customHeight="1" x14ac:dyDescent="0.25">
      <c r="A170" s="254" t="s">
        <v>216</v>
      </c>
      <c r="B170" s="282" t="s">
        <v>221</v>
      </c>
      <c r="C170" s="130"/>
      <c r="D170" s="17" t="s">
        <v>29</v>
      </c>
      <c r="E170" s="18">
        <f t="shared" si="48"/>
        <v>7246.5</v>
      </c>
      <c r="F170" s="19"/>
      <c r="G170" s="19">
        <v>0</v>
      </c>
      <c r="H170" s="19">
        <v>0</v>
      </c>
      <c r="I170" s="19">
        <v>0</v>
      </c>
      <c r="J170" s="19">
        <f t="shared" ref="J170:Q170" si="53">SUM(J171:J173)</f>
        <v>0</v>
      </c>
      <c r="K170" s="19">
        <f t="shared" si="53"/>
        <v>0</v>
      </c>
      <c r="L170" s="19">
        <f t="shared" si="53"/>
        <v>0</v>
      </c>
      <c r="M170" s="19">
        <f t="shared" si="53"/>
        <v>0</v>
      </c>
      <c r="N170" s="19">
        <f t="shared" si="53"/>
        <v>0</v>
      </c>
      <c r="O170" s="19">
        <f t="shared" si="53"/>
        <v>1633.5</v>
      </c>
      <c r="P170" s="19">
        <f t="shared" si="53"/>
        <v>1978.6</v>
      </c>
      <c r="Q170" s="19">
        <f t="shared" si="53"/>
        <v>1817.2</v>
      </c>
      <c r="R170" s="19">
        <f>SUM(R171:R173)</f>
        <v>1817.2</v>
      </c>
      <c r="S170" s="36"/>
      <c r="T170" s="36"/>
      <c r="U170" s="36"/>
      <c r="V170" s="36"/>
      <c r="W170" s="2"/>
      <c r="X170" s="2"/>
    </row>
    <row r="171" spans="1:55" ht="47.1" customHeight="1" x14ac:dyDescent="0.25">
      <c r="A171" s="252"/>
      <c r="B171" s="301"/>
      <c r="C171" s="130"/>
      <c r="D171" s="17" t="s">
        <v>17</v>
      </c>
      <c r="E171" s="18">
        <f t="shared" si="48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36"/>
      <c r="W171" s="2"/>
      <c r="X171" s="2"/>
    </row>
    <row r="172" spans="1:55" ht="47.1" customHeight="1" x14ac:dyDescent="0.25">
      <c r="A172" s="252"/>
      <c r="B172" s="301"/>
      <c r="C172" s="130"/>
      <c r="D172" s="17" t="s">
        <v>18</v>
      </c>
      <c r="E172" s="18">
        <f>SUM(F172:R172)</f>
        <v>7246.5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f>1841.3-53.2-154.6</f>
        <v>1633.5</v>
      </c>
      <c r="P172" s="43">
        <f>1784.1+194.5</f>
        <v>1978.6</v>
      </c>
      <c r="Q172" s="19">
        <f>1745.5+71.7</f>
        <v>1817.2</v>
      </c>
      <c r="R172" s="16">
        <f>1745.5-1556.2+1627.9</f>
        <v>1817.2</v>
      </c>
      <c r="S172" s="36"/>
      <c r="T172" s="36"/>
      <c r="U172" s="36"/>
      <c r="V172" s="36"/>
      <c r="W172" s="2"/>
      <c r="X172" s="2"/>
    </row>
    <row r="173" spans="1:55" ht="34.700000000000003" customHeight="1" x14ac:dyDescent="0.25">
      <c r="A173" s="252"/>
      <c r="B173" s="301"/>
      <c r="C173" s="130"/>
      <c r="D173" s="17" t="s">
        <v>19</v>
      </c>
      <c r="E173" s="18">
        <f t="shared" si="48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36"/>
      <c r="W173" s="2"/>
      <c r="X173" s="2"/>
    </row>
    <row r="174" spans="1:55" ht="47.1" customHeight="1" x14ac:dyDescent="0.25">
      <c r="A174" s="252"/>
      <c r="B174" s="301"/>
      <c r="C174" s="130"/>
      <c r="D174" s="23" t="s">
        <v>21</v>
      </c>
      <c r="E174" s="18">
        <f t="shared" si="48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36"/>
      <c r="W174" s="2"/>
      <c r="X174" s="2"/>
    </row>
    <row r="175" spans="1:55" ht="30.4" customHeight="1" x14ac:dyDescent="0.25">
      <c r="A175" s="230" t="s">
        <v>56</v>
      </c>
      <c r="B175" s="232" t="s">
        <v>156</v>
      </c>
      <c r="C175" s="38"/>
      <c r="D175" s="39" t="s">
        <v>4</v>
      </c>
      <c r="E175" s="40">
        <f>SUM(F175:R175)</f>
        <v>1976033.8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58050</v>
      </c>
      <c r="P175" s="16">
        <f>P178+P177</f>
        <v>29800.400000000001</v>
      </c>
      <c r="Q175" s="16">
        <f>Q178+Q177</f>
        <v>12234.1</v>
      </c>
      <c r="R175" s="16">
        <f>R178+R177</f>
        <v>2127.6999999999998</v>
      </c>
      <c r="S175" s="82"/>
      <c r="T175" s="82"/>
      <c r="U175" s="82"/>
      <c r="V175" s="82"/>
      <c r="W175" s="2"/>
      <c r="X175" s="2"/>
      <c r="BC175" s="2"/>
    </row>
    <row r="176" spans="1:55" ht="24.95" customHeight="1" x14ac:dyDescent="0.25">
      <c r="A176" s="81"/>
      <c r="B176" s="231"/>
      <c r="C176" s="38"/>
      <c r="D176" s="17" t="s">
        <v>17</v>
      </c>
      <c r="E176" s="18">
        <f>SUM(F176:R176)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>I231+I226</f>
        <v>1587.6</v>
      </c>
      <c r="J176" s="19">
        <f>J203</f>
        <v>0</v>
      </c>
      <c r="K176" s="19">
        <f>K231+K226</f>
        <v>0</v>
      </c>
      <c r="L176" s="19">
        <f>L231+L226</f>
        <v>0</v>
      </c>
      <c r="M176" s="19">
        <f t="shared" ref="M176:R176" si="54">M231+M226</f>
        <v>0</v>
      </c>
      <c r="N176" s="19">
        <f t="shared" si="54"/>
        <v>0</v>
      </c>
      <c r="O176" s="19">
        <f t="shared" si="54"/>
        <v>0</v>
      </c>
      <c r="P176" s="19">
        <f t="shared" si="54"/>
        <v>0</v>
      </c>
      <c r="Q176" s="19">
        <f t="shared" si="54"/>
        <v>0</v>
      </c>
      <c r="R176" s="19">
        <f t="shared" si="54"/>
        <v>0</v>
      </c>
      <c r="S176" s="79"/>
      <c r="T176" s="79"/>
      <c r="U176" s="79"/>
      <c r="V176" s="79"/>
      <c r="W176" s="79">
        <f>W231+W226</f>
        <v>0</v>
      </c>
      <c r="X176" s="19">
        <f>X231+X226</f>
        <v>0</v>
      </c>
      <c r="Y176" s="19">
        <f>Y231+Y226</f>
        <v>0</v>
      </c>
      <c r="Z176" s="19">
        <f>Z231+Z226</f>
        <v>0</v>
      </c>
      <c r="AA176" s="19">
        <f>AA231+AA226</f>
        <v>0</v>
      </c>
    </row>
    <row r="177" spans="1:55" ht="24" customHeight="1" x14ac:dyDescent="0.25">
      <c r="A177" s="81"/>
      <c r="B177" s="231"/>
      <c r="C177" s="42"/>
      <c r="D177" s="17" t="s">
        <v>18</v>
      </c>
      <c r="E177" s="18">
        <f t="shared" ref="E177:E240" si="55">SUM(F177:R177)</f>
        <v>1363205.5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41216</v>
      </c>
      <c r="P177" s="19">
        <f>P184+P189+P194+P204+P210+P216+P232+P237+P242+P227+P253+P263+P273+P278+P283+P288+P293</f>
        <v>17893.2</v>
      </c>
      <c r="Q177" s="19">
        <f>Q184+Q189+Q194+Q204+Q210+Q216+Q232+Q237+Q242+Q227+Q253+Q263+Q273+Q278+Q283+Q288+Q293</f>
        <v>11500</v>
      </c>
      <c r="R177" s="19">
        <f>R184+R189+R194+R204+R210+R216+R232+R237+R242+R227+R253+R263+R273+R278+R283+R288+R293</f>
        <v>2000</v>
      </c>
      <c r="S177" s="36"/>
      <c r="T177" s="36"/>
      <c r="U177" s="36"/>
      <c r="V177" s="36"/>
      <c r="W177" s="2">
        <v>367135.6</v>
      </c>
      <c r="X177" s="2"/>
      <c r="BC177" s="2"/>
    </row>
    <row r="178" spans="1:55" ht="24" customHeight="1" x14ac:dyDescent="0.25">
      <c r="A178" s="81"/>
      <c r="B178" s="231"/>
      <c r="C178" s="42"/>
      <c r="D178" s="23" t="s">
        <v>19</v>
      </c>
      <c r="E178" s="18">
        <f t="shared" si="55"/>
        <v>609081.1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16834.000000000004</v>
      </c>
      <c r="P178" s="19">
        <f>P185+P190+P195+P205+P211+P217+P223+P228+P238+P243+P233+P248+P254+P259+P264+P274+P279+P284+P289+P294</f>
        <v>11907.2</v>
      </c>
      <c r="Q178" s="19">
        <f>Q185+Q190+Q195+Q205+Q211+Q217+Q223+Q228+Q238+Q243+Q233+Q248+Q254+Q259+Q264+Q274+Q279+Q284+Q289+Q294</f>
        <v>734.09999999999991</v>
      </c>
      <c r="R178" s="19">
        <f>R185+R190+R195+R205+R211+R217+R223+R228+R238+R243+R233+R248+R254+R259+R264+R274+R279+R284+R289+R294</f>
        <v>127.69999999999999</v>
      </c>
      <c r="S178" s="36"/>
      <c r="T178" s="36"/>
      <c r="U178" s="36"/>
      <c r="V178" s="36"/>
      <c r="W178" s="2">
        <v>62237.5</v>
      </c>
      <c r="X178" s="2"/>
      <c r="BC178" s="2"/>
    </row>
    <row r="179" spans="1:55" ht="63.6" customHeight="1" x14ac:dyDescent="0.25">
      <c r="A179" s="81"/>
      <c r="B179" s="231"/>
      <c r="C179" s="38"/>
      <c r="D179" s="23" t="s">
        <v>20</v>
      </c>
      <c r="E179" s="18">
        <f t="shared" si="55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56">I186+I191+I196+I206+I212+I218</f>
        <v>0</v>
      </c>
      <c r="J179" s="19">
        <f t="shared" si="56"/>
        <v>0</v>
      </c>
      <c r="K179" s="19">
        <f t="shared" si="56"/>
        <v>0</v>
      </c>
      <c r="L179" s="19">
        <f t="shared" si="56"/>
        <v>0</v>
      </c>
      <c r="M179" s="19">
        <f t="shared" si="56"/>
        <v>0</v>
      </c>
      <c r="N179" s="19">
        <f t="shared" si="56"/>
        <v>0</v>
      </c>
      <c r="O179" s="19">
        <f t="shared" si="56"/>
        <v>0</v>
      </c>
      <c r="P179" s="19">
        <f t="shared" si="56"/>
        <v>0</v>
      </c>
      <c r="Q179" s="19">
        <f t="shared" si="56"/>
        <v>0</v>
      </c>
      <c r="R179" s="19">
        <f>R186+R191+R196+R206+R212+R218</f>
        <v>0</v>
      </c>
      <c r="S179" s="36"/>
      <c r="T179" s="36"/>
      <c r="U179" s="36"/>
      <c r="V179" s="36"/>
      <c r="W179" s="2"/>
      <c r="X179" s="2"/>
    </row>
    <row r="180" spans="1:55" ht="57" customHeight="1" x14ac:dyDescent="0.25">
      <c r="A180" s="81"/>
      <c r="B180" s="231"/>
      <c r="C180" s="42"/>
      <c r="D180" s="17" t="s">
        <v>194</v>
      </c>
      <c r="E180" s="18">
        <f t="shared" si="55"/>
        <v>9050.2000000000007</v>
      </c>
      <c r="F180" s="16"/>
      <c r="G180" s="19">
        <f t="shared" ref="G180:Q180" si="57">G249</f>
        <v>0</v>
      </c>
      <c r="H180" s="19">
        <f t="shared" si="57"/>
        <v>0</v>
      </c>
      <c r="I180" s="19">
        <f t="shared" si="57"/>
        <v>0</v>
      </c>
      <c r="J180" s="19">
        <f t="shared" si="57"/>
        <v>0</v>
      </c>
      <c r="K180" s="19">
        <f t="shared" si="57"/>
        <v>0</v>
      </c>
      <c r="L180" s="19">
        <f t="shared" si="57"/>
        <v>0</v>
      </c>
      <c r="M180" s="19">
        <f t="shared" si="57"/>
        <v>9050.2000000000007</v>
      </c>
      <c r="N180" s="19">
        <f t="shared" si="57"/>
        <v>0</v>
      </c>
      <c r="O180" s="19">
        <f t="shared" si="57"/>
        <v>0</v>
      </c>
      <c r="P180" s="19">
        <f t="shared" si="57"/>
        <v>0</v>
      </c>
      <c r="Q180" s="19">
        <f t="shared" si="57"/>
        <v>0</v>
      </c>
      <c r="R180" s="19">
        <f>R249</f>
        <v>0</v>
      </c>
      <c r="S180" s="36"/>
      <c r="T180" s="36"/>
      <c r="U180" s="36"/>
      <c r="V180" s="36"/>
      <c r="W180" s="2"/>
      <c r="X180" s="2"/>
    </row>
    <row r="181" spans="1:55" ht="28.5" customHeight="1" x14ac:dyDescent="0.25">
      <c r="A181" s="51"/>
      <c r="B181" s="233"/>
      <c r="C181" s="38"/>
      <c r="D181" s="23" t="s">
        <v>21</v>
      </c>
      <c r="E181" s="18">
        <f t="shared" si="55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36"/>
      <c r="W181" s="2"/>
      <c r="X181" s="2"/>
    </row>
    <row r="182" spans="1:55" ht="21.75" hidden="1" customHeight="1" x14ac:dyDescent="0.25">
      <c r="A182" s="325" t="s">
        <v>57</v>
      </c>
      <c r="B182" s="285" t="s">
        <v>35</v>
      </c>
      <c r="C182" s="287" t="s">
        <v>28</v>
      </c>
      <c r="D182" s="17" t="s">
        <v>29</v>
      </c>
      <c r="E182" s="18">
        <f t="shared" si="55"/>
        <v>0</v>
      </c>
      <c r="F182" s="19">
        <f>SUM(F183:F185)</f>
        <v>0</v>
      </c>
      <c r="G182" s="19">
        <f t="shared" ref="G182:L182" si="58">SUM(G183:G185)</f>
        <v>0</v>
      </c>
      <c r="H182" s="19">
        <f t="shared" si="58"/>
        <v>0</v>
      </c>
      <c r="I182" s="19">
        <f t="shared" si="58"/>
        <v>0</v>
      </c>
      <c r="J182" s="19">
        <f t="shared" si="58"/>
        <v>0</v>
      </c>
      <c r="K182" s="19">
        <f t="shared" si="58"/>
        <v>0</v>
      </c>
      <c r="L182" s="19">
        <f t="shared" si="58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36"/>
      <c r="W182" s="2"/>
      <c r="X182" s="2"/>
    </row>
    <row r="183" spans="1:55" ht="15.75" hidden="1" customHeight="1" x14ac:dyDescent="0.25">
      <c r="A183" s="325"/>
      <c r="B183" s="285"/>
      <c r="C183" s="288"/>
      <c r="D183" s="17" t="s">
        <v>17</v>
      </c>
      <c r="E183" s="18">
        <f t="shared" si="55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36"/>
      <c r="W183" s="2"/>
      <c r="X183" s="2"/>
    </row>
    <row r="184" spans="1:55" ht="15.75" hidden="1" customHeight="1" x14ac:dyDescent="0.25">
      <c r="A184" s="325"/>
      <c r="B184" s="285"/>
      <c r="C184" s="288"/>
      <c r="D184" s="17" t="s">
        <v>18</v>
      </c>
      <c r="E184" s="18">
        <f t="shared" si="55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36"/>
      <c r="W184" s="2"/>
      <c r="X184" s="2"/>
    </row>
    <row r="185" spans="1:55" ht="18" hidden="1" customHeight="1" x14ac:dyDescent="0.25">
      <c r="A185" s="325"/>
      <c r="B185" s="285"/>
      <c r="C185" s="288"/>
      <c r="D185" s="17" t="s">
        <v>19</v>
      </c>
      <c r="E185" s="18">
        <f t="shared" si="55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36"/>
      <c r="W185" s="2"/>
      <c r="X185" s="2"/>
    </row>
    <row r="186" spans="1:55" ht="24" hidden="1" customHeight="1" x14ac:dyDescent="0.25">
      <c r="A186" s="286"/>
      <c r="B186" s="286"/>
      <c r="C186" s="289"/>
      <c r="D186" s="17" t="s">
        <v>21</v>
      </c>
      <c r="E186" s="18">
        <f t="shared" si="55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36"/>
      <c r="W186" s="2"/>
      <c r="X186" s="2"/>
    </row>
    <row r="187" spans="1:55" ht="18" hidden="1" customHeight="1" x14ac:dyDescent="0.25">
      <c r="A187" s="324" t="s">
        <v>58</v>
      </c>
      <c r="B187" s="326" t="s">
        <v>59</v>
      </c>
      <c r="C187" s="287" t="s">
        <v>16</v>
      </c>
      <c r="D187" s="17" t="s">
        <v>29</v>
      </c>
      <c r="E187" s="18">
        <f t="shared" si="55"/>
        <v>0</v>
      </c>
      <c r="F187" s="19">
        <f>SUM(F188:F190)</f>
        <v>0</v>
      </c>
      <c r="G187" s="19">
        <f t="shared" ref="G187:L187" si="59">SUM(G188:G190)</f>
        <v>0</v>
      </c>
      <c r="H187" s="19">
        <f t="shared" si="59"/>
        <v>0</v>
      </c>
      <c r="I187" s="19">
        <f t="shared" si="59"/>
        <v>0</v>
      </c>
      <c r="J187" s="19">
        <f t="shared" si="59"/>
        <v>0</v>
      </c>
      <c r="K187" s="19">
        <f t="shared" si="59"/>
        <v>0</v>
      </c>
      <c r="L187" s="19">
        <f t="shared" si="59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36"/>
      <c r="W187" s="2"/>
      <c r="X187" s="2"/>
    </row>
    <row r="188" spans="1:55" ht="16.5" hidden="1" customHeight="1" x14ac:dyDescent="0.25">
      <c r="A188" s="325"/>
      <c r="B188" s="285"/>
      <c r="C188" s="288"/>
      <c r="D188" s="17" t="s">
        <v>17</v>
      </c>
      <c r="E188" s="18">
        <f t="shared" si="55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36"/>
      <c r="W188" s="2"/>
      <c r="X188" s="2"/>
    </row>
    <row r="189" spans="1:55" ht="16.5" hidden="1" customHeight="1" x14ac:dyDescent="0.25">
      <c r="A189" s="325"/>
      <c r="B189" s="285"/>
      <c r="C189" s="288"/>
      <c r="D189" s="17" t="s">
        <v>18</v>
      </c>
      <c r="E189" s="18">
        <f t="shared" si="55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36"/>
      <c r="W189" s="2"/>
      <c r="X189" s="2"/>
    </row>
    <row r="190" spans="1:55" ht="18" hidden="1" customHeight="1" x14ac:dyDescent="0.25">
      <c r="A190" s="325"/>
      <c r="B190" s="285"/>
      <c r="C190" s="288"/>
      <c r="D190" s="17" t="s">
        <v>19</v>
      </c>
      <c r="E190" s="18">
        <f t="shared" si="55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36"/>
      <c r="W190" s="2"/>
      <c r="X190" s="2"/>
    </row>
    <row r="191" spans="1:55" ht="28.5" hidden="1" customHeight="1" x14ac:dyDescent="0.25">
      <c r="A191" s="285"/>
      <c r="B191" s="285"/>
      <c r="C191" s="289"/>
      <c r="D191" s="17" t="s">
        <v>21</v>
      </c>
      <c r="E191" s="18">
        <f t="shared" si="55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36"/>
      <c r="W191" s="2"/>
      <c r="X191" s="2"/>
    </row>
    <row r="192" spans="1:55" ht="36" customHeight="1" x14ac:dyDescent="0.25">
      <c r="A192" s="143" t="s">
        <v>57</v>
      </c>
      <c r="B192" s="312" t="s">
        <v>60</v>
      </c>
      <c r="C192" s="302" t="s">
        <v>16</v>
      </c>
      <c r="D192" s="17" t="s">
        <v>29</v>
      </c>
      <c r="E192" s="18">
        <f t="shared" si="55"/>
        <v>252131.09999999998</v>
      </c>
      <c r="F192" s="19">
        <f>SUM(F193:F195)</f>
        <v>0</v>
      </c>
      <c r="G192" s="19">
        <f t="shared" ref="G192:L192" si="60">SUM(G193:G195)</f>
        <v>0</v>
      </c>
      <c r="H192" s="19">
        <f t="shared" si="60"/>
        <v>68638.399999999994</v>
      </c>
      <c r="I192" s="19">
        <f t="shared" si="60"/>
        <v>28449.1</v>
      </c>
      <c r="J192" s="19">
        <f t="shared" si="60"/>
        <v>30354.2</v>
      </c>
      <c r="K192" s="19">
        <f t="shared" si="60"/>
        <v>80928.100000000006</v>
      </c>
      <c r="L192" s="19">
        <f t="shared" si="60"/>
        <v>28071.300000000003</v>
      </c>
      <c r="M192" s="19">
        <f t="shared" ref="M192:R192" si="61">SUM(M193:M195)</f>
        <v>15690</v>
      </c>
      <c r="N192" s="19">
        <f t="shared" si="61"/>
        <v>0</v>
      </c>
      <c r="O192" s="19">
        <f t="shared" si="61"/>
        <v>0</v>
      </c>
      <c r="P192" s="19">
        <f t="shared" si="61"/>
        <v>0</v>
      </c>
      <c r="Q192" s="19">
        <f t="shared" si="61"/>
        <v>0</v>
      </c>
      <c r="R192" s="19">
        <f t="shared" si="61"/>
        <v>0</v>
      </c>
      <c r="S192" s="36"/>
      <c r="T192" s="36"/>
      <c r="U192" s="36"/>
      <c r="V192" s="36"/>
      <c r="W192" s="2">
        <v>20459.3</v>
      </c>
      <c r="X192" s="2"/>
    </row>
    <row r="193" spans="1:24" ht="29.85" customHeight="1" x14ac:dyDescent="0.25">
      <c r="A193" s="114"/>
      <c r="B193" s="301"/>
      <c r="C193" s="303"/>
      <c r="D193" s="17" t="s">
        <v>17</v>
      </c>
      <c r="E193" s="18">
        <f t="shared" si="55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36"/>
      <c r="W193" s="2"/>
      <c r="X193" s="2"/>
    </row>
    <row r="194" spans="1:24" ht="29.85" customHeight="1" x14ac:dyDescent="0.25">
      <c r="A194" s="114"/>
      <c r="B194" s="301"/>
      <c r="C194" s="303"/>
      <c r="D194" s="17" t="s">
        <v>18</v>
      </c>
      <c r="E194" s="18">
        <f t="shared" si="55"/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36"/>
      <c r="W194" s="2"/>
      <c r="X194" s="2"/>
    </row>
    <row r="195" spans="1:24" ht="27.6" customHeight="1" x14ac:dyDescent="0.25">
      <c r="A195" s="114"/>
      <c r="B195" s="123"/>
      <c r="C195" s="303"/>
      <c r="D195" s="17" t="s">
        <v>19</v>
      </c>
      <c r="E195" s="18">
        <f t="shared" si="55"/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36"/>
      <c r="W195" s="2">
        <v>20459.3</v>
      </c>
      <c r="X195" s="2"/>
    </row>
    <row r="196" spans="1:24" ht="32.25" customHeight="1" x14ac:dyDescent="0.25">
      <c r="A196" s="136"/>
      <c r="B196" s="150"/>
      <c r="C196" s="304"/>
      <c r="D196" s="17" t="s">
        <v>21</v>
      </c>
      <c r="E196" s="18">
        <f t="shared" si="55"/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36"/>
      <c r="W196" s="2"/>
      <c r="X196" s="2"/>
    </row>
    <row r="197" spans="1:24" ht="17.25" hidden="1" customHeight="1" x14ac:dyDescent="0.25">
      <c r="A197" s="305" t="s">
        <v>61</v>
      </c>
      <c r="B197" s="366" t="s">
        <v>62</v>
      </c>
      <c r="C197" s="287" t="s">
        <v>16</v>
      </c>
      <c r="D197" s="17" t="s">
        <v>29</v>
      </c>
      <c r="E197" s="18">
        <f t="shared" si="55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36"/>
      <c r="W197" s="2"/>
      <c r="X197" s="2"/>
    </row>
    <row r="198" spans="1:24" ht="18" hidden="1" customHeight="1" x14ac:dyDescent="0.25">
      <c r="A198" s="305"/>
      <c r="B198" s="307"/>
      <c r="C198" s="288"/>
      <c r="D198" s="17" t="s">
        <v>17</v>
      </c>
      <c r="E198" s="18">
        <f t="shared" si="55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36"/>
      <c r="W198" s="2"/>
      <c r="X198" s="2"/>
    </row>
    <row r="199" spans="1:24" ht="14.25" hidden="1" customHeight="1" x14ac:dyDescent="0.25">
      <c r="A199" s="305"/>
      <c r="B199" s="307"/>
      <c r="C199" s="288"/>
      <c r="D199" s="17" t="s">
        <v>18</v>
      </c>
      <c r="E199" s="18">
        <f t="shared" si="55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36"/>
      <c r="W199" s="2"/>
      <c r="X199" s="2"/>
    </row>
    <row r="200" spans="1:24" ht="13.9" hidden="1" customHeight="1" x14ac:dyDescent="0.25">
      <c r="A200" s="305"/>
      <c r="B200" s="307"/>
      <c r="C200" s="288"/>
      <c r="D200" s="17" t="s">
        <v>19</v>
      </c>
      <c r="E200" s="18">
        <f t="shared" si="55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36"/>
      <c r="W200" s="2"/>
      <c r="X200" s="2"/>
    </row>
    <row r="201" spans="1:24" ht="29.25" hidden="1" customHeight="1" x14ac:dyDescent="0.25">
      <c r="A201" s="320"/>
      <c r="B201" s="307"/>
      <c r="C201" s="289"/>
      <c r="D201" s="17" t="s">
        <v>21</v>
      </c>
      <c r="E201" s="18">
        <f t="shared" si="55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36"/>
      <c r="W201" s="2"/>
      <c r="X201" s="2"/>
    </row>
    <row r="202" spans="1:24" ht="29.1" customHeight="1" x14ac:dyDescent="0.25">
      <c r="A202" s="273" t="s">
        <v>58</v>
      </c>
      <c r="B202" s="367" t="s">
        <v>63</v>
      </c>
      <c r="C202" s="302" t="s">
        <v>16</v>
      </c>
      <c r="D202" s="17" t="s">
        <v>29</v>
      </c>
      <c r="E202" s="18">
        <f t="shared" si="55"/>
        <v>297018.59999999998</v>
      </c>
      <c r="F202" s="19">
        <f t="shared" ref="F202:L202" si="62">SUM(F203:F205)</f>
        <v>0</v>
      </c>
      <c r="G202" s="19">
        <f>SUM(G203:G205)</f>
        <v>113437.99999999999</v>
      </c>
      <c r="H202" s="19">
        <f t="shared" si="62"/>
        <v>161861</v>
      </c>
      <c r="I202" s="19">
        <f t="shared" si="62"/>
        <v>16343.7</v>
      </c>
      <c r="J202" s="19">
        <f t="shared" si="62"/>
        <v>5206.3</v>
      </c>
      <c r="K202" s="19">
        <f t="shared" si="62"/>
        <v>169.59999999999991</v>
      </c>
      <c r="L202" s="19">
        <f t="shared" si="62"/>
        <v>0</v>
      </c>
      <c r="M202" s="19">
        <f t="shared" ref="M202:R202" si="63">SUM(M203:M205)</f>
        <v>0</v>
      </c>
      <c r="N202" s="19">
        <f t="shared" si="63"/>
        <v>7.2759576141834259E-12</v>
      </c>
      <c r="O202" s="19">
        <f t="shared" si="63"/>
        <v>0</v>
      </c>
      <c r="P202" s="19">
        <f t="shared" si="63"/>
        <v>0</v>
      </c>
      <c r="Q202" s="19">
        <f t="shared" si="63"/>
        <v>0</v>
      </c>
      <c r="R202" s="19">
        <f t="shared" si="63"/>
        <v>0</v>
      </c>
      <c r="S202" s="36"/>
      <c r="T202" s="36"/>
      <c r="U202" s="36"/>
      <c r="V202" s="36"/>
      <c r="W202" s="2">
        <v>0</v>
      </c>
      <c r="X202" s="2"/>
    </row>
    <row r="203" spans="1:24" ht="41.85" customHeight="1" x14ac:dyDescent="0.25">
      <c r="A203" s="168"/>
      <c r="B203" s="368"/>
      <c r="C203" s="303"/>
      <c r="D203" s="17" t="s">
        <v>17</v>
      </c>
      <c r="E203" s="18">
        <f t="shared" si="55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36"/>
      <c r="W203" s="2"/>
      <c r="X203" s="2"/>
    </row>
    <row r="204" spans="1:24" ht="31.7" customHeight="1" x14ac:dyDescent="0.25">
      <c r="A204" s="145"/>
      <c r="B204" s="148"/>
      <c r="C204" s="303"/>
      <c r="D204" s="17" t="s">
        <v>18</v>
      </c>
      <c r="E204" s="18">
        <f t="shared" si="55"/>
        <v>89240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279">
        <f>48750-48750</f>
        <v>0</v>
      </c>
      <c r="R204" s="19">
        <v>0</v>
      </c>
      <c r="S204" s="36"/>
      <c r="T204" s="36"/>
      <c r="U204" s="36"/>
      <c r="V204" s="36"/>
      <c r="W204" s="2"/>
      <c r="X204" s="2"/>
    </row>
    <row r="205" spans="1:24" ht="31.7" customHeight="1" x14ac:dyDescent="0.25">
      <c r="A205" s="145"/>
      <c r="B205" s="148"/>
      <c r="C205" s="303"/>
      <c r="D205" s="17" t="s">
        <v>19</v>
      </c>
      <c r="E205" s="18">
        <f t="shared" si="55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36"/>
      <c r="W205" s="2">
        <v>0</v>
      </c>
      <c r="X205" s="2"/>
    </row>
    <row r="206" spans="1:24" ht="66.400000000000006" customHeight="1" x14ac:dyDescent="0.25">
      <c r="A206" s="145"/>
      <c r="B206" s="148"/>
      <c r="C206" s="303"/>
      <c r="D206" s="45" t="s">
        <v>20</v>
      </c>
      <c r="E206" s="18">
        <f t="shared" si="55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36"/>
      <c r="W206" s="2"/>
      <c r="X206" s="2"/>
    </row>
    <row r="207" spans="1:24" ht="29.1" customHeight="1" x14ac:dyDescent="0.25">
      <c r="A207" s="145"/>
      <c r="B207" s="148"/>
      <c r="C207" s="304"/>
      <c r="D207" s="17" t="s">
        <v>21</v>
      </c>
      <c r="E207" s="18">
        <f t="shared" si="55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36"/>
      <c r="W207" s="2"/>
      <c r="X207" s="2"/>
    </row>
    <row r="208" spans="1:24" ht="30.75" customHeight="1" x14ac:dyDescent="0.25">
      <c r="A208" s="145"/>
      <c r="B208" s="90" t="s">
        <v>64</v>
      </c>
      <c r="C208" s="130"/>
      <c r="D208" s="17" t="s">
        <v>29</v>
      </c>
      <c r="E208" s="18">
        <f t="shared" si="55"/>
        <v>36300</v>
      </c>
      <c r="F208" s="19"/>
      <c r="G208" s="19">
        <f t="shared" ref="G208:L208" si="64">SUM(G209:G211)+G213</f>
        <v>0</v>
      </c>
      <c r="H208" s="19">
        <f t="shared" si="64"/>
        <v>36300</v>
      </c>
      <c r="I208" s="19">
        <f t="shared" si="64"/>
        <v>0</v>
      </c>
      <c r="J208" s="19">
        <f t="shared" si="64"/>
        <v>0</v>
      </c>
      <c r="K208" s="19">
        <f t="shared" si="64"/>
        <v>0</v>
      </c>
      <c r="L208" s="19">
        <f t="shared" si="64"/>
        <v>0</v>
      </c>
      <c r="M208" s="19">
        <f t="shared" ref="M208:R208" si="65">SUM(M209:M211)+M213</f>
        <v>0</v>
      </c>
      <c r="N208" s="19">
        <f t="shared" si="65"/>
        <v>0</v>
      </c>
      <c r="O208" s="19">
        <f t="shared" si="65"/>
        <v>0</v>
      </c>
      <c r="P208" s="19">
        <f t="shared" si="65"/>
        <v>0</v>
      </c>
      <c r="Q208" s="19">
        <f t="shared" si="65"/>
        <v>0</v>
      </c>
      <c r="R208" s="19">
        <f t="shared" si="65"/>
        <v>0</v>
      </c>
      <c r="S208" s="36"/>
      <c r="T208" s="36"/>
      <c r="U208" s="36"/>
      <c r="V208" s="36"/>
      <c r="W208" s="2"/>
      <c r="X208" s="2"/>
    </row>
    <row r="209" spans="1:24" ht="38.1" customHeight="1" x14ac:dyDescent="0.25">
      <c r="A209" s="145"/>
      <c r="B209" s="91"/>
      <c r="C209" s="131"/>
      <c r="D209" s="17" t="s">
        <v>17</v>
      </c>
      <c r="E209" s="18">
        <f t="shared" si="55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36"/>
      <c r="W209" s="2"/>
      <c r="X209" s="2"/>
    </row>
    <row r="210" spans="1:24" ht="29.85" customHeight="1" x14ac:dyDescent="0.25">
      <c r="A210" s="145"/>
      <c r="B210" s="90"/>
      <c r="C210" s="130"/>
      <c r="D210" s="23" t="s">
        <v>18</v>
      </c>
      <c r="E210" s="18">
        <f t="shared" si="55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36"/>
      <c r="W210" s="2"/>
      <c r="X210" s="2"/>
    </row>
    <row r="211" spans="1:24" ht="37.35" customHeight="1" x14ac:dyDescent="0.25">
      <c r="A211" s="145"/>
      <c r="B211" s="372" t="s">
        <v>65</v>
      </c>
      <c r="C211" s="130"/>
      <c r="D211" s="17" t="s">
        <v>19</v>
      </c>
      <c r="E211" s="18">
        <f t="shared" si="55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36"/>
      <c r="W211" s="2">
        <v>0</v>
      </c>
      <c r="X211" s="2"/>
    </row>
    <row r="212" spans="1:24" ht="51.75" customHeight="1" x14ac:dyDescent="0.25">
      <c r="A212" s="145"/>
      <c r="B212" s="373"/>
      <c r="C212" s="131"/>
      <c r="D212" s="17" t="s">
        <v>66</v>
      </c>
      <c r="E212" s="18">
        <f t="shared" si="55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36"/>
      <c r="W212" s="2"/>
      <c r="X212" s="2"/>
    </row>
    <row r="213" spans="1:24" ht="31.9" customHeight="1" x14ac:dyDescent="0.25">
      <c r="A213" s="146"/>
      <c r="B213" s="374"/>
      <c r="C213" s="131"/>
      <c r="D213" s="17" t="s">
        <v>21</v>
      </c>
      <c r="E213" s="18">
        <f t="shared" si="55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36"/>
      <c r="W213" s="2"/>
      <c r="X213" s="2"/>
    </row>
    <row r="214" spans="1:24" ht="33.4" customHeight="1" x14ac:dyDescent="0.25">
      <c r="A214" s="114" t="s">
        <v>67</v>
      </c>
      <c r="B214" s="326" t="s">
        <v>68</v>
      </c>
      <c r="C214" s="30"/>
      <c r="D214" s="17" t="s">
        <v>29</v>
      </c>
      <c r="E214" s="18">
        <f t="shared" si="55"/>
        <v>322.60000000000002</v>
      </c>
      <c r="F214" s="25"/>
      <c r="G214" s="25">
        <f t="shared" ref="G214:L214" si="66">G215+G216+G217+G219</f>
        <v>322.60000000000002</v>
      </c>
      <c r="H214" s="25">
        <f t="shared" si="66"/>
        <v>0</v>
      </c>
      <c r="I214" s="25">
        <f t="shared" si="66"/>
        <v>0</v>
      </c>
      <c r="J214" s="25">
        <f t="shared" si="66"/>
        <v>0</v>
      </c>
      <c r="K214" s="25">
        <f t="shared" si="66"/>
        <v>0</v>
      </c>
      <c r="L214" s="25">
        <f t="shared" si="66"/>
        <v>0</v>
      </c>
      <c r="M214" s="25">
        <f t="shared" ref="M214:R214" si="67">M215+M216+M217+M219</f>
        <v>0</v>
      </c>
      <c r="N214" s="25">
        <f t="shared" si="67"/>
        <v>0</v>
      </c>
      <c r="O214" s="25">
        <f t="shared" si="67"/>
        <v>0</v>
      </c>
      <c r="P214" s="25">
        <f t="shared" si="67"/>
        <v>0</v>
      </c>
      <c r="Q214" s="25">
        <f t="shared" si="67"/>
        <v>0</v>
      </c>
      <c r="R214" s="25">
        <f t="shared" si="67"/>
        <v>0</v>
      </c>
      <c r="S214" s="36"/>
      <c r="T214" s="36"/>
      <c r="U214" s="36"/>
      <c r="V214" s="36"/>
      <c r="W214" s="2"/>
      <c r="X214" s="2"/>
    </row>
    <row r="215" spans="1:24" ht="32.1" customHeight="1" x14ac:dyDescent="0.25">
      <c r="A215" s="115"/>
      <c r="B215" s="327"/>
      <c r="C215" s="131"/>
      <c r="D215" s="17" t="s">
        <v>17</v>
      </c>
      <c r="E215" s="18">
        <f t="shared" si="55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36"/>
      <c r="W215" s="2"/>
      <c r="X215" s="2"/>
    </row>
    <row r="216" spans="1:24" ht="32.85" customHeight="1" x14ac:dyDescent="0.25">
      <c r="A216" s="115"/>
      <c r="B216" s="327"/>
      <c r="C216" s="130"/>
      <c r="D216" s="23" t="s">
        <v>18</v>
      </c>
      <c r="E216" s="18">
        <f t="shared" si="55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36"/>
      <c r="W216" s="2"/>
      <c r="X216" s="2"/>
    </row>
    <row r="217" spans="1:24" ht="34.9" customHeight="1" x14ac:dyDescent="0.25">
      <c r="A217" s="115"/>
      <c r="B217" s="327"/>
      <c r="C217" s="131"/>
      <c r="D217" s="17" t="s">
        <v>19</v>
      </c>
      <c r="E217" s="18">
        <f t="shared" si="55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36"/>
      <c r="W217" s="2">
        <v>0</v>
      </c>
      <c r="X217" s="2"/>
    </row>
    <row r="218" spans="1:24" ht="65.099999999999994" customHeight="1" x14ac:dyDescent="0.25">
      <c r="A218" s="115"/>
      <c r="B218" s="106"/>
      <c r="C218" s="130"/>
      <c r="D218" s="17" t="s">
        <v>20</v>
      </c>
      <c r="E218" s="18">
        <f t="shared" si="55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36"/>
      <c r="W218" s="2">
        <v>0</v>
      </c>
      <c r="X218" s="2"/>
    </row>
    <row r="219" spans="1:24" ht="29.1" customHeight="1" x14ac:dyDescent="0.25">
      <c r="A219" s="88"/>
      <c r="B219" s="129"/>
      <c r="C219" s="131"/>
      <c r="D219" s="17" t="s">
        <v>21</v>
      </c>
      <c r="E219" s="18">
        <f t="shared" si="55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36"/>
      <c r="W219" s="2"/>
      <c r="X219" s="2"/>
    </row>
    <row r="220" spans="1:24" ht="19.7" customHeight="1" x14ac:dyDescent="0.25">
      <c r="A220" s="324" t="s">
        <v>69</v>
      </c>
      <c r="B220" s="375" t="s">
        <v>70</v>
      </c>
      <c r="C220" s="302" t="s">
        <v>16</v>
      </c>
      <c r="D220" s="17" t="s">
        <v>29</v>
      </c>
      <c r="E220" s="18">
        <f t="shared" si="55"/>
        <v>1299.9000000000001</v>
      </c>
      <c r="F220" s="19">
        <f t="shared" ref="F220:L220" si="68">SUM(F221:F223)</f>
        <v>0</v>
      </c>
      <c r="G220" s="19">
        <f>SUM(G221:G223)</f>
        <v>1299.9000000000001</v>
      </c>
      <c r="H220" s="19">
        <f t="shared" si="68"/>
        <v>0</v>
      </c>
      <c r="I220" s="19">
        <f t="shared" si="68"/>
        <v>0</v>
      </c>
      <c r="J220" s="19">
        <f t="shared" si="68"/>
        <v>0</v>
      </c>
      <c r="K220" s="19">
        <f t="shared" si="68"/>
        <v>0</v>
      </c>
      <c r="L220" s="19">
        <f t="shared" si="68"/>
        <v>0</v>
      </c>
      <c r="M220" s="19">
        <f t="shared" ref="M220:R220" si="69">SUM(M221:M223)</f>
        <v>0</v>
      </c>
      <c r="N220" s="19">
        <f t="shared" si="69"/>
        <v>0</v>
      </c>
      <c r="O220" s="19">
        <f t="shared" si="69"/>
        <v>0</v>
      </c>
      <c r="P220" s="19">
        <f t="shared" si="69"/>
        <v>0</v>
      </c>
      <c r="Q220" s="19">
        <f t="shared" si="69"/>
        <v>0</v>
      </c>
      <c r="R220" s="19">
        <f t="shared" si="69"/>
        <v>0</v>
      </c>
      <c r="S220" s="36"/>
      <c r="T220" s="36"/>
      <c r="U220" s="36"/>
      <c r="V220" s="36"/>
      <c r="W220" s="2">
        <v>0</v>
      </c>
      <c r="X220" s="2"/>
    </row>
    <row r="221" spans="1:24" ht="25.5" customHeight="1" x14ac:dyDescent="0.25">
      <c r="A221" s="337"/>
      <c r="B221" s="337"/>
      <c r="C221" s="303"/>
      <c r="D221" s="17" t="s">
        <v>17</v>
      </c>
      <c r="E221" s="18">
        <f t="shared" si="55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36"/>
      <c r="W221" s="2"/>
      <c r="X221" s="2"/>
    </row>
    <row r="222" spans="1:24" ht="40.700000000000003" customHeight="1" x14ac:dyDescent="0.25">
      <c r="A222" s="337"/>
      <c r="B222" s="337"/>
      <c r="C222" s="303"/>
      <c r="D222" s="17" t="s">
        <v>18</v>
      </c>
      <c r="E222" s="18">
        <f t="shared" si="55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36"/>
      <c r="W222" s="2"/>
      <c r="X222" s="2"/>
    </row>
    <row r="223" spans="1:24" ht="28.15" customHeight="1" x14ac:dyDescent="0.25">
      <c r="A223" s="114"/>
      <c r="B223" s="85"/>
      <c r="C223" s="303"/>
      <c r="D223" s="17" t="s">
        <v>19</v>
      </c>
      <c r="E223" s="18">
        <f t="shared" si="55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36"/>
      <c r="W223" s="2"/>
      <c r="X223" s="2"/>
    </row>
    <row r="224" spans="1:24" ht="29.25" customHeight="1" x14ac:dyDescent="0.25">
      <c r="A224" s="22"/>
      <c r="B224" s="154"/>
      <c r="C224" s="304"/>
      <c r="D224" s="17" t="s">
        <v>21</v>
      </c>
      <c r="E224" s="18">
        <f t="shared" si="55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36"/>
      <c r="W224" s="2"/>
      <c r="X224" s="2"/>
    </row>
    <row r="225" spans="1:24" ht="26.25" customHeight="1" x14ac:dyDescent="0.25">
      <c r="A225" s="325" t="s">
        <v>71</v>
      </c>
      <c r="B225" s="376" t="s">
        <v>210</v>
      </c>
      <c r="C225" s="47"/>
      <c r="D225" s="17" t="s">
        <v>29</v>
      </c>
      <c r="E225" s="18">
        <f t="shared" si="55"/>
        <v>8824.7000000000007</v>
      </c>
      <c r="F225" s="19">
        <f t="shared" ref="F225:L225" si="70">SUM(F226:F228)</f>
        <v>0</v>
      </c>
      <c r="G225" s="19">
        <f>SUM(G226:G228)</f>
        <v>0</v>
      </c>
      <c r="H225" s="19">
        <f t="shared" si="70"/>
        <v>1764.7</v>
      </c>
      <c r="I225" s="19">
        <f t="shared" si="70"/>
        <v>2486.9999999999995</v>
      </c>
      <c r="J225" s="19">
        <f t="shared" si="70"/>
        <v>1800</v>
      </c>
      <c r="K225" s="19">
        <f t="shared" si="70"/>
        <v>2773</v>
      </c>
      <c r="L225" s="19">
        <f t="shared" si="70"/>
        <v>0</v>
      </c>
      <c r="M225" s="19">
        <f t="shared" ref="M225:R225" si="71">SUM(M226:M228)</f>
        <v>0</v>
      </c>
      <c r="N225" s="19">
        <f t="shared" si="71"/>
        <v>0</v>
      </c>
      <c r="O225" s="19">
        <f t="shared" si="71"/>
        <v>0</v>
      </c>
      <c r="P225" s="19">
        <f t="shared" si="71"/>
        <v>0</v>
      </c>
      <c r="Q225" s="19">
        <f t="shared" si="71"/>
        <v>0</v>
      </c>
      <c r="R225" s="19">
        <f t="shared" si="71"/>
        <v>0</v>
      </c>
      <c r="S225" s="36"/>
      <c r="T225" s="36"/>
      <c r="U225" s="36"/>
      <c r="V225" s="36"/>
      <c r="W225" s="2">
        <v>0</v>
      </c>
      <c r="X225" s="2"/>
    </row>
    <row r="226" spans="1:24" ht="26.25" customHeight="1" x14ac:dyDescent="0.25">
      <c r="A226" s="325"/>
      <c r="B226" s="313"/>
      <c r="C226" s="132"/>
      <c r="D226" s="17" t="s">
        <v>17</v>
      </c>
      <c r="E226" s="18">
        <f t="shared" si="55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36"/>
      <c r="W226" s="2"/>
      <c r="X226" s="2"/>
    </row>
    <row r="227" spans="1:24" ht="26.85" customHeight="1" x14ac:dyDescent="0.25">
      <c r="A227" s="325"/>
      <c r="B227" s="313"/>
      <c r="C227" s="132"/>
      <c r="D227" s="17" t="s">
        <v>18</v>
      </c>
      <c r="E227" s="18">
        <f t="shared" si="55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36"/>
      <c r="W227" s="2"/>
      <c r="X227" s="2"/>
    </row>
    <row r="228" spans="1:24" ht="27.6" customHeight="1" x14ac:dyDescent="0.25">
      <c r="A228" s="325"/>
      <c r="B228" s="313"/>
      <c r="C228" s="132"/>
      <c r="D228" s="17" t="s">
        <v>19</v>
      </c>
      <c r="E228" s="18">
        <f t="shared" si="55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36"/>
      <c r="W228" s="2"/>
      <c r="X228" s="2"/>
    </row>
    <row r="229" spans="1:24" ht="36" customHeight="1" x14ac:dyDescent="0.25">
      <c r="A229" s="286"/>
      <c r="B229" s="314"/>
      <c r="C229" s="133"/>
      <c r="D229" s="17" t="s">
        <v>21</v>
      </c>
      <c r="E229" s="18">
        <f t="shared" si="55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36"/>
      <c r="W229" s="2"/>
      <c r="X229" s="2"/>
    </row>
    <row r="230" spans="1:24" ht="24.4" customHeight="1" x14ac:dyDescent="0.25">
      <c r="A230" s="245" t="s">
        <v>72</v>
      </c>
      <c r="B230" s="377" t="s">
        <v>170</v>
      </c>
      <c r="C230" s="30"/>
      <c r="D230" s="17" t="s">
        <v>29</v>
      </c>
      <c r="E230" s="18">
        <f t="shared" si="55"/>
        <v>22443</v>
      </c>
      <c r="F230" s="19"/>
      <c r="G230" s="19">
        <f t="shared" ref="G230:L230" si="72">SUM(G231:G234)</f>
        <v>0</v>
      </c>
      <c r="H230" s="19">
        <f t="shared" si="72"/>
        <v>0</v>
      </c>
      <c r="I230" s="19">
        <f>SUM(I231:I234)</f>
        <v>0</v>
      </c>
      <c r="J230" s="19">
        <f t="shared" si="72"/>
        <v>12040</v>
      </c>
      <c r="K230" s="19">
        <f t="shared" si="72"/>
        <v>10403</v>
      </c>
      <c r="L230" s="19">
        <f t="shared" si="72"/>
        <v>0</v>
      </c>
      <c r="M230" s="19">
        <f t="shared" ref="M230:R230" si="73">SUM(M231:M234)</f>
        <v>0</v>
      </c>
      <c r="N230" s="19">
        <f t="shared" si="73"/>
        <v>0</v>
      </c>
      <c r="O230" s="19">
        <f t="shared" si="73"/>
        <v>0</v>
      </c>
      <c r="P230" s="19">
        <f t="shared" si="73"/>
        <v>0</v>
      </c>
      <c r="Q230" s="19">
        <f t="shared" si="73"/>
        <v>0</v>
      </c>
      <c r="R230" s="19">
        <f t="shared" si="73"/>
        <v>0</v>
      </c>
      <c r="S230" s="36"/>
      <c r="T230" s="36"/>
      <c r="U230" s="36"/>
      <c r="V230" s="36"/>
      <c r="W230" s="2">
        <v>0</v>
      </c>
      <c r="X230" s="2"/>
    </row>
    <row r="231" spans="1:24" ht="33.4" customHeight="1" x14ac:dyDescent="0.25">
      <c r="A231" s="248"/>
      <c r="B231" s="361"/>
      <c r="C231" s="236"/>
      <c r="D231" s="17" t="s">
        <v>17</v>
      </c>
      <c r="E231" s="18">
        <f t="shared" si="55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36"/>
      <c r="W231" s="2"/>
      <c r="X231" s="2"/>
    </row>
    <row r="232" spans="1:24" ht="35.65" customHeight="1" x14ac:dyDescent="0.25">
      <c r="A232" s="88"/>
      <c r="B232" s="362"/>
      <c r="C232" s="237"/>
      <c r="D232" s="17" t="s">
        <v>18</v>
      </c>
      <c r="E232" s="18">
        <f t="shared" si="55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36"/>
      <c r="W232" s="2"/>
      <c r="X232" s="2"/>
    </row>
    <row r="233" spans="1:24" ht="32.25" customHeight="1" x14ac:dyDescent="0.25">
      <c r="A233" s="221"/>
      <c r="B233" s="207"/>
      <c r="C233" s="131"/>
      <c r="D233" s="23" t="s">
        <v>19</v>
      </c>
      <c r="E233" s="18">
        <f t="shared" si="55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36"/>
      <c r="W233" s="2"/>
      <c r="X233" s="2"/>
    </row>
    <row r="234" spans="1:24" ht="33" customHeight="1" x14ac:dyDescent="0.25">
      <c r="A234" s="21"/>
      <c r="B234" s="123"/>
      <c r="C234" s="48"/>
      <c r="D234" s="17" t="s">
        <v>21</v>
      </c>
      <c r="E234" s="18">
        <f t="shared" si="55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36"/>
      <c r="W234" s="2"/>
      <c r="X234" s="2"/>
    </row>
    <row r="235" spans="1:24" ht="33" customHeight="1" x14ac:dyDescent="0.25">
      <c r="A235" s="143" t="s">
        <v>73</v>
      </c>
      <c r="B235" s="282" t="s">
        <v>74</v>
      </c>
      <c r="C235" s="302" t="s">
        <v>75</v>
      </c>
      <c r="D235" s="17" t="s">
        <v>29</v>
      </c>
      <c r="E235" s="18">
        <f t="shared" si="55"/>
        <v>410787.39999999997</v>
      </c>
      <c r="F235" s="19">
        <f t="shared" ref="F235:L235" si="74">SUM(F236:F238)</f>
        <v>0</v>
      </c>
      <c r="G235" s="19">
        <f t="shared" si="74"/>
        <v>0</v>
      </c>
      <c r="H235" s="19">
        <f t="shared" si="74"/>
        <v>0</v>
      </c>
      <c r="I235" s="19">
        <f t="shared" si="74"/>
        <v>0</v>
      </c>
      <c r="J235" s="19">
        <f t="shared" si="74"/>
        <v>352849.89999999997</v>
      </c>
      <c r="K235" s="19">
        <f t="shared" si="74"/>
        <v>57937.5</v>
      </c>
      <c r="L235" s="19">
        <f t="shared" si="74"/>
        <v>0</v>
      </c>
      <c r="M235" s="19">
        <f t="shared" ref="M235:R235" si="75">SUM(M236:M238)</f>
        <v>0</v>
      </c>
      <c r="N235" s="19">
        <f t="shared" si="75"/>
        <v>0</v>
      </c>
      <c r="O235" s="19">
        <f t="shared" si="75"/>
        <v>0</v>
      </c>
      <c r="P235" s="19">
        <f t="shared" si="75"/>
        <v>0</v>
      </c>
      <c r="Q235" s="19">
        <f t="shared" si="75"/>
        <v>0</v>
      </c>
      <c r="R235" s="19">
        <f t="shared" si="75"/>
        <v>0</v>
      </c>
      <c r="S235" s="36"/>
      <c r="T235" s="36"/>
      <c r="U235" s="36"/>
      <c r="V235" s="36"/>
      <c r="W235" s="2"/>
      <c r="X235" s="2"/>
    </row>
    <row r="236" spans="1:24" ht="30" customHeight="1" x14ac:dyDescent="0.25">
      <c r="A236" s="114"/>
      <c r="B236" s="369"/>
      <c r="C236" s="370"/>
      <c r="D236" s="17" t="s">
        <v>17</v>
      </c>
      <c r="E236" s="18">
        <f t="shared" si="55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36"/>
      <c r="W236" s="2"/>
      <c r="X236" s="2"/>
    </row>
    <row r="237" spans="1:24" ht="41.25" customHeight="1" x14ac:dyDescent="0.25">
      <c r="A237" s="114"/>
      <c r="B237" s="145"/>
      <c r="C237" s="370"/>
      <c r="D237" s="17" t="s">
        <v>18</v>
      </c>
      <c r="E237" s="18">
        <f t="shared" si="55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36"/>
      <c r="W237" s="2"/>
      <c r="X237" s="2"/>
    </row>
    <row r="238" spans="1:24" ht="27" customHeight="1" x14ac:dyDescent="0.25">
      <c r="A238" s="114"/>
      <c r="B238" s="145"/>
      <c r="C238" s="370"/>
      <c r="D238" s="17" t="s">
        <v>19</v>
      </c>
      <c r="E238" s="18">
        <f t="shared" si="55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36"/>
      <c r="W238" s="2"/>
      <c r="X238" s="2"/>
    </row>
    <row r="239" spans="1:24" ht="41.25" customHeight="1" x14ac:dyDescent="0.25">
      <c r="A239" s="22"/>
      <c r="B239" s="146"/>
      <c r="C239" s="371"/>
      <c r="D239" s="17" t="s">
        <v>21</v>
      </c>
      <c r="E239" s="18">
        <f t="shared" si="55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36"/>
      <c r="W239" s="2"/>
      <c r="X239" s="2"/>
    </row>
    <row r="240" spans="1:24" ht="47.1" customHeight="1" x14ac:dyDescent="0.25">
      <c r="A240" s="105" t="s">
        <v>122</v>
      </c>
      <c r="B240" s="282" t="s">
        <v>123</v>
      </c>
      <c r="C240" s="302" t="s">
        <v>75</v>
      </c>
      <c r="D240" s="17" t="s">
        <v>29</v>
      </c>
      <c r="E240" s="18">
        <f t="shared" si="55"/>
        <v>265451.7</v>
      </c>
      <c r="F240" s="19">
        <f t="shared" ref="F240:L240" si="76">SUM(F241:F243)</f>
        <v>0</v>
      </c>
      <c r="G240" s="19">
        <f t="shared" si="76"/>
        <v>0</v>
      </c>
      <c r="H240" s="19">
        <f t="shared" si="76"/>
        <v>0</v>
      </c>
      <c r="I240" s="19">
        <f t="shared" si="76"/>
        <v>0</v>
      </c>
      <c r="J240" s="19">
        <f t="shared" si="76"/>
        <v>161771.70000000001</v>
      </c>
      <c r="K240" s="19">
        <f t="shared" si="76"/>
        <v>103680</v>
      </c>
      <c r="L240" s="19">
        <f t="shared" si="76"/>
        <v>0</v>
      </c>
      <c r="M240" s="19">
        <f t="shared" ref="M240:R240" si="77">SUM(M241:M243)</f>
        <v>0</v>
      </c>
      <c r="N240" s="19">
        <f t="shared" si="77"/>
        <v>0</v>
      </c>
      <c r="O240" s="19">
        <f t="shared" si="77"/>
        <v>0</v>
      </c>
      <c r="P240" s="19">
        <f t="shared" si="77"/>
        <v>0</v>
      </c>
      <c r="Q240" s="19">
        <f t="shared" si="77"/>
        <v>0</v>
      </c>
      <c r="R240" s="19">
        <f t="shared" si="77"/>
        <v>0</v>
      </c>
      <c r="S240" s="36"/>
      <c r="T240" s="36"/>
      <c r="U240" s="36"/>
      <c r="V240" s="36"/>
      <c r="W240" s="2"/>
      <c r="X240" s="2"/>
    </row>
    <row r="241" spans="1:24" ht="41.85" customHeight="1" x14ac:dyDescent="0.25">
      <c r="A241" s="144"/>
      <c r="B241" s="369"/>
      <c r="C241" s="370"/>
      <c r="D241" s="17" t="s">
        <v>17</v>
      </c>
      <c r="E241" s="18">
        <f t="shared" ref="E241:E295" si="78">SUM(F241:R241)</f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36"/>
      <c r="W241" s="2"/>
      <c r="X241" s="2"/>
    </row>
    <row r="242" spans="1:24" ht="38.25" customHeight="1" x14ac:dyDescent="0.25">
      <c r="A242" s="144"/>
      <c r="B242" s="369"/>
      <c r="C242" s="370"/>
      <c r="D242" s="17" t="s">
        <v>18</v>
      </c>
      <c r="E242" s="18">
        <f t="shared" si="78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36"/>
      <c r="W242" s="2"/>
      <c r="X242" s="2"/>
    </row>
    <row r="243" spans="1:24" ht="38.85" customHeight="1" x14ac:dyDescent="0.25">
      <c r="A243" s="144"/>
      <c r="B243" s="369"/>
      <c r="C243" s="370"/>
      <c r="D243" s="17" t="s">
        <v>19</v>
      </c>
      <c r="E243" s="18">
        <f t="shared" si="78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36"/>
      <c r="W243" s="2"/>
      <c r="X243" s="2"/>
    </row>
    <row r="244" spans="1:24" ht="33.75" customHeight="1" x14ac:dyDescent="0.25">
      <c r="A244" s="206"/>
      <c r="B244" s="369"/>
      <c r="C244" s="371"/>
      <c r="D244" s="17" t="s">
        <v>21</v>
      </c>
      <c r="E244" s="18">
        <f t="shared" si="78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36"/>
      <c r="W244" s="2"/>
      <c r="X244" s="2"/>
    </row>
    <row r="245" spans="1:24" ht="30" customHeight="1" x14ac:dyDescent="0.25">
      <c r="A245" s="215" t="s">
        <v>125</v>
      </c>
      <c r="B245" s="326" t="s">
        <v>220</v>
      </c>
      <c r="C245" s="49"/>
      <c r="D245" s="17" t="s">
        <v>29</v>
      </c>
      <c r="E245" s="18">
        <f t="shared" si="78"/>
        <v>21748.400000000001</v>
      </c>
      <c r="F245" s="19">
        <f t="shared" ref="F245:Q245" si="79">SUM(F246:F248)</f>
        <v>0</v>
      </c>
      <c r="G245" s="19">
        <f t="shared" si="79"/>
        <v>0</v>
      </c>
      <c r="H245" s="19">
        <f t="shared" si="79"/>
        <v>0</v>
      </c>
      <c r="I245" s="19">
        <f t="shared" si="79"/>
        <v>0</v>
      </c>
      <c r="J245" s="19">
        <f t="shared" si="79"/>
        <v>0</v>
      </c>
      <c r="K245" s="19">
        <f t="shared" si="79"/>
        <v>2591.1</v>
      </c>
      <c r="L245" s="19">
        <f t="shared" si="79"/>
        <v>9050.2000000000007</v>
      </c>
      <c r="M245" s="19">
        <f t="shared" si="79"/>
        <v>10104.5</v>
      </c>
      <c r="N245" s="19">
        <f t="shared" si="79"/>
        <v>2.6000000000003638</v>
      </c>
      <c r="O245" s="19">
        <f t="shared" si="79"/>
        <v>0</v>
      </c>
      <c r="P245" s="19">
        <f t="shared" si="79"/>
        <v>0</v>
      </c>
      <c r="Q245" s="19">
        <f t="shared" si="79"/>
        <v>0</v>
      </c>
      <c r="R245" s="19">
        <f>SUM(R246:R248)</f>
        <v>0</v>
      </c>
      <c r="S245" s="36"/>
      <c r="T245" s="36"/>
      <c r="U245" s="36"/>
      <c r="V245" s="36"/>
      <c r="W245" s="2">
        <v>10200.200000000001</v>
      </c>
      <c r="X245" s="2"/>
    </row>
    <row r="246" spans="1:24" ht="36" customHeight="1" x14ac:dyDescent="0.25">
      <c r="A246" s="214"/>
      <c r="B246" s="327"/>
      <c r="C246" s="118"/>
      <c r="D246" s="17" t="s">
        <v>17</v>
      </c>
      <c r="E246" s="18">
        <f t="shared" si="78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36"/>
      <c r="W246" s="2"/>
      <c r="X246" s="2"/>
    </row>
    <row r="247" spans="1:24" ht="29.45" customHeight="1" x14ac:dyDescent="0.25">
      <c r="A247" s="214"/>
      <c r="B247" s="327"/>
      <c r="C247" s="118"/>
      <c r="D247" s="17" t="s">
        <v>18</v>
      </c>
      <c r="E247" s="18">
        <f t="shared" si="78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36"/>
      <c r="W247" s="2"/>
      <c r="X247" s="2"/>
    </row>
    <row r="248" spans="1:24" ht="38.1" customHeight="1" x14ac:dyDescent="0.25">
      <c r="A248" s="214"/>
      <c r="B248" s="327"/>
      <c r="C248" s="119"/>
      <c r="D248" s="17" t="s">
        <v>19</v>
      </c>
      <c r="E248" s="18">
        <f t="shared" si="78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36"/>
      <c r="W248" s="2">
        <v>10200.200000000001</v>
      </c>
      <c r="X248" s="2"/>
    </row>
    <row r="249" spans="1:24" ht="49.7" customHeight="1" x14ac:dyDescent="0.25">
      <c r="A249" s="214"/>
      <c r="B249" s="210"/>
      <c r="C249" s="118"/>
      <c r="D249" s="23" t="s">
        <v>194</v>
      </c>
      <c r="E249" s="18">
        <f t="shared" si="78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36"/>
      <c r="W249" s="2"/>
      <c r="X249" s="2"/>
    </row>
    <row r="250" spans="1:24" ht="31.9" customHeight="1" x14ac:dyDescent="0.25">
      <c r="A250" s="89"/>
      <c r="B250" s="211"/>
      <c r="C250" s="119"/>
      <c r="D250" s="17" t="s">
        <v>21</v>
      </c>
      <c r="E250" s="18">
        <f t="shared" si="78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36"/>
      <c r="W250" s="2"/>
      <c r="X250" s="2"/>
    </row>
    <row r="251" spans="1:24" ht="24.75" customHeight="1" x14ac:dyDescent="0.25">
      <c r="A251" s="381" t="s">
        <v>132</v>
      </c>
      <c r="B251" s="285" t="s">
        <v>133</v>
      </c>
      <c r="C251" s="86"/>
      <c r="D251" s="17" t="s">
        <v>29</v>
      </c>
      <c r="E251" s="18">
        <f t="shared" si="78"/>
        <v>490029.8</v>
      </c>
      <c r="F251" s="19">
        <f t="shared" ref="F251:Q251" si="80">SUM(F252:F254)</f>
        <v>0</v>
      </c>
      <c r="G251" s="19">
        <f t="shared" si="80"/>
        <v>0</v>
      </c>
      <c r="H251" s="19">
        <f t="shared" si="80"/>
        <v>0</v>
      </c>
      <c r="I251" s="19">
        <f t="shared" si="80"/>
        <v>0</v>
      </c>
      <c r="J251" s="19">
        <f t="shared" si="80"/>
        <v>0</v>
      </c>
      <c r="K251" s="19">
        <f t="shared" si="80"/>
        <v>3936.7</v>
      </c>
      <c r="L251" s="19">
        <f t="shared" si="80"/>
        <v>66714.5</v>
      </c>
      <c r="M251" s="19">
        <f t="shared" si="80"/>
        <v>251731.80000000002</v>
      </c>
      <c r="N251" s="19">
        <f t="shared" si="80"/>
        <v>131113</v>
      </c>
      <c r="O251" s="19">
        <f t="shared" si="80"/>
        <v>36533.800000000003</v>
      </c>
      <c r="P251" s="19">
        <f t="shared" si="80"/>
        <v>0</v>
      </c>
      <c r="Q251" s="19">
        <f t="shared" si="80"/>
        <v>0</v>
      </c>
      <c r="R251" s="19">
        <f>SUM(R252:R254)</f>
        <v>0</v>
      </c>
      <c r="S251" s="36"/>
      <c r="T251" s="36"/>
      <c r="U251" s="36"/>
      <c r="V251" s="36"/>
      <c r="W251" s="2">
        <v>251731.8</v>
      </c>
      <c r="X251" s="2"/>
    </row>
    <row r="252" spans="1:24" ht="46.5" customHeight="1" x14ac:dyDescent="0.25">
      <c r="A252" s="382"/>
      <c r="B252" s="285"/>
      <c r="C252" s="119"/>
      <c r="D252" s="23" t="s">
        <v>17</v>
      </c>
      <c r="E252" s="18">
        <f t="shared" si="78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36"/>
      <c r="W252" s="2"/>
      <c r="X252" s="2"/>
    </row>
    <row r="253" spans="1:24" ht="47.85" customHeight="1" x14ac:dyDescent="0.25">
      <c r="A253" s="176"/>
      <c r="B253" s="177"/>
      <c r="C253" s="119"/>
      <c r="D253" s="23" t="s">
        <v>18</v>
      </c>
      <c r="E253" s="18">
        <f t="shared" si="78"/>
        <v>460470.5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25">
        <f>2500+36212.3-2500+0.1+4754.4+1532.8-8157.8</f>
        <v>34341.800000000003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36"/>
      <c r="W253" s="2">
        <v>236627.9</v>
      </c>
      <c r="X253" s="2"/>
    </row>
    <row r="254" spans="1:24" ht="38.85" customHeight="1" x14ac:dyDescent="0.25">
      <c r="A254" s="167"/>
      <c r="B254" s="177"/>
      <c r="C254" s="119"/>
      <c r="D254" s="17" t="s">
        <v>19</v>
      </c>
      <c r="E254" s="18">
        <f t="shared" si="78"/>
        <v>29559.3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25">
        <f>150+2321-159.6+303.5+97.8-14.8-505.9</f>
        <v>2192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36"/>
      <c r="W254" s="2">
        <v>15103.9</v>
      </c>
      <c r="X254" s="2"/>
    </row>
    <row r="255" spans="1:24" ht="41.25" customHeight="1" x14ac:dyDescent="0.25">
      <c r="A255" s="178"/>
      <c r="B255" s="168"/>
      <c r="C255" s="119"/>
      <c r="D255" s="23" t="s">
        <v>21</v>
      </c>
      <c r="E255" s="18">
        <f t="shared" si="78"/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36"/>
      <c r="W255" s="2"/>
      <c r="X255" s="2"/>
    </row>
    <row r="256" spans="1:24" ht="20.100000000000001" customHeight="1" x14ac:dyDescent="0.25">
      <c r="A256" s="257" t="s">
        <v>148</v>
      </c>
      <c r="B256" s="282" t="s">
        <v>161</v>
      </c>
      <c r="C256" s="255"/>
      <c r="D256" s="17" t="s">
        <v>29</v>
      </c>
      <c r="E256" s="18">
        <f t="shared" si="78"/>
        <v>59018.200000000004</v>
      </c>
      <c r="F256" s="25">
        <f t="shared" ref="F256:Q256" si="81">SUM(F257:F259)</f>
        <v>0</v>
      </c>
      <c r="G256" s="25">
        <f t="shared" si="81"/>
        <v>0</v>
      </c>
      <c r="H256" s="25">
        <f t="shared" si="81"/>
        <v>0</v>
      </c>
      <c r="I256" s="25">
        <f t="shared" si="81"/>
        <v>0</v>
      </c>
      <c r="J256" s="25">
        <f t="shared" si="81"/>
        <v>0</v>
      </c>
      <c r="K256" s="25">
        <f t="shared" si="81"/>
        <v>4500.6000000000004</v>
      </c>
      <c r="L256" s="25">
        <f t="shared" si="81"/>
        <v>5795.0999999999995</v>
      </c>
      <c r="M256" s="25">
        <f t="shared" si="81"/>
        <v>11614.1</v>
      </c>
      <c r="N256" s="25">
        <f t="shared" si="81"/>
        <v>12140.1</v>
      </c>
      <c r="O256" s="25">
        <f t="shared" si="81"/>
        <v>14203.2</v>
      </c>
      <c r="P256" s="25">
        <f t="shared" si="81"/>
        <v>10765.1</v>
      </c>
      <c r="Q256" s="25">
        <f t="shared" si="81"/>
        <v>0</v>
      </c>
      <c r="R256" s="25">
        <f>SUM(R257:R259)</f>
        <v>0</v>
      </c>
      <c r="S256" s="36"/>
      <c r="T256" s="36"/>
      <c r="U256" s="36"/>
      <c r="V256" s="36"/>
      <c r="W256" s="2">
        <v>8143.9</v>
      </c>
      <c r="X256" s="2"/>
    </row>
    <row r="257" spans="1:24" ht="34.15" customHeight="1" x14ac:dyDescent="0.25">
      <c r="A257" s="259"/>
      <c r="B257" s="380"/>
      <c r="C257" s="250"/>
      <c r="D257" s="17" t="s">
        <v>17</v>
      </c>
      <c r="E257" s="18">
        <f t="shared" si="78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36"/>
      <c r="W257" s="2"/>
      <c r="X257" s="2"/>
    </row>
    <row r="258" spans="1:24" ht="33.4" customHeight="1" x14ac:dyDescent="0.25">
      <c r="A258" s="259"/>
      <c r="B258" s="380"/>
      <c r="C258" s="250"/>
      <c r="D258" s="17" t="s">
        <v>18</v>
      </c>
      <c r="E258" s="18">
        <f t="shared" si="78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36"/>
      <c r="W258" s="2"/>
      <c r="X258" s="2"/>
    </row>
    <row r="259" spans="1:24" ht="33" customHeight="1" x14ac:dyDescent="0.25">
      <c r="A259" s="89"/>
      <c r="B259" s="383"/>
      <c r="C259" s="242"/>
      <c r="D259" s="17" t="s">
        <v>19</v>
      </c>
      <c r="E259" s="18">
        <f t="shared" si="78"/>
        <v>59018.200000000004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267">
        <f>10765.1</f>
        <v>10765.1</v>
      </c>
      <c r="Q259" s="19">
        <v>0</v>
      </c>
      <c r="R259" s="19">
        <v>0</v>
      </c>
      <c r="S259" s="36"/>
      <c r="T259" s="36"/>
      <c r="U259" s="36"/>
      <c r="V259" s="36"/>
      <c r="W259" s="2">
        <v>8143.9</v>
      </c>
      <c r="X259" s="2"/>
    </row>
    <row r="260" spans="1:24" ht="43.5" customHeight="1" x14ac:dyDescent="0.25">
      <c r="A260" s="206"/>
      <c r="B260" s="145"/>
      <c r="C260" s="117"/>
      <c r="D260" s="23" t="s">
        <v>21</v>
      </c>
      <c r="E260" s="18">
        <f t="shared" si="78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36"/>
      <c r="W260" s="2"/>
      <c r="X260" s="2"/>
    </row>
    <row r="261" spans="1:24" ht="36" customHeight="1" x14ac:dyDescent="0.25">
      <c r="A261" s="143" t="s">
        <v>149</v>
      </c>
      <c r="B261" s="282" t="s">
        <v>150</v>
      </c>
      <c r="C261" s="118"/>
      <c r="D261" s="23" t="s">
        <v>29</v>
      </c>
      <c r="E261" s="18">
        <f t="shared" si="78"/>
        <v>95462.2</v>
      </c>
      <c r="F261" s="19">
        <f t="shared" ref="F261:Q261" si="82">SUM(F262:F264)</f>
        <v>0</v>
      </c>
      <c r="G261" s="19">
        <f t="shared" si="82"/>
        <v>0</v>
      </c>
      <c r="H261" s="19">
        <f t="shared" si="82"/>
        <v>0</v>
      </c>
      <c r="I261" s="19">
        <f t="shared" si="82"/>
        <v>0</v>
      </c>
      <c r="J261" s="19">
        <f t="shared" si="82"/>
        <v>0</v>
      </c>
      <c r="K261" s="19">
        <f t="shared" si="82"/>
        <v>1708.6000000000001</v>
      </c>
      <c r="L261" s="19">
        <f>SUM(L262:L264)</f>
        <v>63804.5</v>
      </c>
      <c r="M261" s="19">
        <f t="shared" si="82"/>
        <v>29949.100000000002</v>
      </c>
      <c r="N261" s="19">
        <f t="shared" si="82"/>
        <v>0</v>
      </c>
      <c r="O261" s="19">
        <f t="shared" si="82"/>
        <v>0</v>
      </c>
      <c r="P261" s="19">
        <f t="shared" si="82"/>
        <v>0</v>
      </c>
      <c r="Q261" s="19">
        <f t="shared" si="82"/>
        <v>0</v>
      </c>
      <c r="R261" s="19">
        <f>SUM(R262:R264)</f>
        <v>0</v>
      </c>
      <c r="S261" s="36"/>
      <c r="T261" s="36"/>
      <c r="U261" s="36"/>
      <c r="V261" s="36"/>
      <c r="W261" s="2">
        <v>29949.1</v>
      </c>
      <c r="X261" s="2"/>
    </row>
    <row r="262" spans="1:24" ht="33.4" customHeight="1" x14ac:dyDescent="0.25">
      <c r="A262" s="50"/>
      <c r="B262" s="301"/>
      <c r="C262" s="119"/>
      <c r="D262" s="17" t="s">
        <v>17</v>
      </c>
      <c r="E262" s="18">
        <f t="shared" si="78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36"/>
      <c r="W262" s="2"/>
      <c r="X262" s="2"/>
    </row>
    <row r="263" spans="1:24" ht="35.65" customHeight="1" x14ac:dyDescent="0.25">
      <c r="A263" s="114"/>
      <c r="B263" s="145"/>
      <c r="C263" s="118"/>
      <c r="D263" s="23" t="s">
        <v>18</v>
      </c>
      <c r="E263" s="18">
        <f t="shared" si="78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36"/>
      <c r="W263" s="2">
        <v>28152.2</v>
      </c>
      <c r="X263" s="2"/>
    </row>
    <row r="264" spans="1:24" ht="38.1" customHeight="1" x14ac:dyDescent="0.25">
      <c r="A264" s="114"/>
      <c r="B264" s="145"/>
      <c r="C264" s="118"/>
      <c r="D264" s="17" t="s">
        <v>19</v>
      </c>
      <c r="E264" s="18">
        <f t="shared" si="78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36"/>
      <c r="W264" s="2">
        <v>1796.9</v>
      </c>
      <c r="X264" s="2"/>
    </row>
    <row r="265" spans="1:24" ht="41.25" customHeight="1" x14ac:dyDescent="0.25">
      <c r="A265" s="22"/>
      <c r="B265" s="146"/>
      <c r="C265" s="119"/>
      <c r="D265" s="17" t="s">
        <v>21</v>
      </c>
      <c r="E265" s="18">
        <f t="shared" si="78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36"/>
      <c r="W265" s="2"/>
      <c r="X265" s="2"/>
    </row>
    <row r="266" spans="1:24" ht="20.100000000000001" hidden="1" customHeight="1" x14ac:dyDescent="0.25">
      <c r="A266" s="325" t="s">
        <v>159</v>
      </c>
      <c r="B266" s="307" t="s">
        <v>160</v>
      </c>
      <c r="C266" s="116"/>
      <c r="D266" s="23" t="s">
        <v>29</v>
      </c>
      <c r="E266" s="18">
        <f t="shared" si="78"/>
        <v>0</v>
      </c>
      <c r="F266" s="25">
        <f t="shared" ref="F266:Q266" si="83">SUM(F267:F269)</f>
        <v>0</v>
      </c>
      <c r="G266" s="25">
        <f t="shared" si="83"/>
        <v>0</v>
      </c>
      <c r="H266" s="25">
        <f t="shared" si="83"/>
        <v>0</v>
      </c>
      <c r="I266" s="25">
        <f t="shared" si="83"/>
        <v>0</v>
      </c>
      <c r="J266" s="25">
        <f t="shared" si="83"/>
        <v>0</v>
      </c>
      <c r="K266" s="25">
        <f t="shared" si="83"/>
        <v>0</v>
      </c>
      <c r="L266" s="25">
        <f t="shared" si="83"/>
        <v>0</v>
      </c>
      <c r="M266" s="25">
        <f t="shared" si="83"/>
        <v>0</v>
      </c>
      <c r="N266" s="25">
        <f t="shared" si="83"/>
        <v>0</v>
      </c>
      <c r="O266" s="25">
        <f t="shared" si="83"/>
        <v>0</v>
      </c>
      <c r="P266" s="25">
        <f t="shared" si="83"/>
        <v>0</v>
      </c>
      <c r="Q266" s="25">
        <f t="shared" si="83"/>
        <v>0</v>
      </c>
      <c r="R266" s="25">
        <f>SUM(R267:R269)</f>
        <v>0</v>
      </c>
      <c r="S266" s="36"/>
      <c r="T266" s="36"/>
      <c r="U266" s="36"/>
      <c r="V266" s="36"/>
      <c r="W266" s="2"/>
      <c r="X266" s="2"/>
    </row>
    <row r="267" spans="1:24" ht="20.100000000000001" hidden="1" customHeight="1" x14ac:dyDescent="0.25">
      <c r="A267" s="325"/>
      <c r="B267" s="378"/>
      <c r="C267" s="116"/>
      <c r="D267" s="17" t="s">
        <v>17</v>
      </c>
      <c r="E267" s="18">
        <f t="shared" si="78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36"/>
      <c r="W267" s="2"/>
      <c r="X267" s="2"/>
    </row>
    <row r="268" spans="1:24" ht="20.100000000000001" hidden="1" customHeight="1" x14ac:dyDescent="0.25">
      <c r="A268" s="325"/>
      <c r="B268" s="378"/>
      <c r="C268" s="116"/>
      <c r="D268" s="17" t="s">
        <v>18</v>
      </c>
      <c r="E268" s="18">
        <f t="shared" si="78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36"/>
      <c r="W268" s="2"/>
      <c r="X268" s="2"/>
    </row>
    <row r="269" spans="1:24" ht="20.100000000000001" hidden="1" customHeight="1" x14ac:dyDescent="0.25">
      <c r="A269" s="325"/>
      <c r="B269" s="378"/>
      <c r="C269" s="116"/>
      <c r="D269" s="17" t="s">
        <v>19</v>
      </c>
      <c r="E269" s="18">
        <f t="shared" si="78"/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36"/>
      <c r="W269" s="2"/>
      <c r="X269" s="2"/>
    </row>
    <row r="270" spans="1:24" ht="33.75" hidden="1" customHeight="1" x14ac:dyDescent="0.25">
      <c r="A270" s="285"/>
      <c r="B270" s="378"/>
      <c r="C270" s="116"/>
      <c r="D270" s="17" t="s">
        <v>21</v>
      </c>
      <c r="E270" s="18">
        <f t="shared" si="78"/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36"/>
      <c r="W270" s="2"/>
      <c r="X270" s="2"/>
    </row>
    <row r="271" spans="1:24" ht="34.5" hidden="1" customHeight="1" x14ac:dyDescent="0.25">
      <c r="A271" s="324" t="s">
        <v>159</v>
      </c>
      <c r="B271" s="282" t="s">
        <v>192</v>
      </c>
      <c r="C271" s="116"/>
      <c r="D271" s="23" t="s">
        <v>29</v>
      </c>
      <c r="E271" s="18">
        <f t="shared" si="78"/>
        <v>0</v>
      </c>
      <c r="F271" s="25">
        <f t="shared" ref="F271:Q271" si="84">SUM(F272:F274)</f>
        <v>0</v>
      </c>
      <c r="G271" s="25">
        <f t="shared" si="84"/>
        <v>0</v>
      </c>
      <c r="H271" s="25">
        <f t="shared" si="84"/>
        <v>0</v>
      </c>
      <c r="I271" s="25">
        <f t="shared" si="84"/>
        <v>0</v>
      </c>
      <c r="J271" s="25">
        <f t="shared" si="84"/>
        <v>0</v>
      </c>
      <c r="K271" s="25">
        <f t="shared" si="84"/>
        <v>0</v>
      </c>
      <c r="L271" s="25">
        <f t="shared" si="84"/>
        <v>0</v>
      </c>
      <c r="M271" s="25">
        <f t="shared" si="84"/>
        <v>0</v>
      </c>
      <c r="N271" s="25">
        <f t="shared" si="84"/>
        <v>0</v>
      </c>
      <c r="O271" s="25">
        <f t="shared" si="84"/>
        <v>0</v>
      </c>
      <c r="P271" s="25">
        <f t="shared" si="84"/>
        <v>0</v>
      </c>
      <c r="Q271" s="25">
        <f t="shared" si="84"/>
        <v>0</v>
      </c>
      <c r="R271" s="25">
        <f>SUM(R272:R274)</f>
        <v>0</v>
      </c>
      <c r="S271" s="36"/>
      <c r="T271" s="36"/>
      <c r="U271" s="36"/>
      <c r="V271" s="36"/>
      <c r="W271" s="2"/>
      <c r="X271" s="2"/>
    </row>
    <row r="272" spans="1:24" ht="26.25" hidden="1" customHeight="1" x14ac:dyDescent="0.25">
      <c r="A272" s="325"/>
      <c r="B272" s="369"/>
      <c r="C272" s="116"/>
      <c r="D272" s="17" t="s">
        <v>17</v>
      </c>
      <c r="E272" s="18">
        <f t="shared" si="78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36"/>
      <c r="W272" s="2"/>
      <c r="X272" s="2"/>
    </row>
    <row r="273" spans="1:24" ht="28.15" hidden="1" customHeight="1" x14ac:dyDescent="0.25">
      <c r="A273" s="325"/>
      <c r="B273" s="369"/>
      <c r="C273" s="116"/>
      <c r="D273" s="17" t="s">
        <v>18</v>
      </c>
      <c r="E273" s="18">
        <f t="shared" si="78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36"/>
      <c r="W273" s="2">
        <v>98769.9</v>
      </c>
      <c r="X273" s="2"/>
    </row>
    <row r="274" spans="1:24" ht="25.5" hidden="1" customHeight="1" x14ac:dyDescent="0.25">
      <c r="A274" s="325"/>
      <c r="B274" s="369"/>
      <c r="C274" s="116"/>
      <c r="D274" s="17" t="s">
        <v>19</v>
      </c>
      <c r="E274" s="18">
        <f t="shared" si="78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36"/>
      <c r="W274" s="2">
        <v>6304.4</v>
      </c>
      <c r="X274" s="2"/>
    </row>
    <row r="275" spans="1:24" ht="30.4" hidden="1" customHeight="1" x14ac:dyDescent="0.25">
      <c r="A275" s="286"/>
      <c r="B275" s="379"/>
      <c r="C275" s="117"/>
      <c r="D275" s="17" t="s">
        <v>21</v>
      </c>
      <c r="E275" s="18">
        <f t="shared" si="78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36"/>
      <c r="W275" s="2"/>
      <c r="X275" s="2"/>
    </row>
    <row r="276" spans="1:24" ht="36" customHeight="1" x14ac:dyDescent="0.25">
      <c r="A276" s="324" t="s">
        <v>185</v>
      </c>
      <c r="B276" s="282" t="s">
        <v>186</v>
      </c>
      <c r="C276" s="118"/>
      <c r="D276" s="23" t="s">
        <v>29</v>
      </c>
      <c r="E276" s="18">
        <f t="shared" si="78"/>
        <v>12766.2</v>
      </c>
      <c r="F276" s="25">
        <f t="shared" ref="F276:Q276" si="85">SUM(F277:F279)</f>
        <v>0</v>
      </c>
      <c r="G276" s="25">
        <f t="shared" si="85"/>
        <v>0</v>
      </c>
      <c r="H276" s="25">
        <f t="shared" si="85"/>
        <v>0</v>
      </c>
      <c r="I276" s="25">
        <f t="shared" si="85"/>
        <v>0</v>
      </c>
      <c r="J276" s="25">
        <f t="shared" si="85"/>
        <v>0</v>
      </c>
      <c r="K276" s="25">
        <f t="shared" si="85"/>
        <v>0</v>
      </c>
      <c r="L276" s="25">
        <f t="shared" si="85"/>
        <v>0</v>
      </c>
      <c r="M276" s="25">
        <f t="shared" si="85"/>
        <v>2127.6999999999998</v>
      </c>
      <c r="N276" s="25">
        <f t="shared" si="85"/>
        <v>2127.6999999999998</v>
      </c>
      <c r="O276" s="25">
        <f t="shared" si="85"/>
        <v>2127.6999999999998</v>
      </c>
      <c r="P276" s="25">
        <f t="shared" si="85"/>
        <v>2127.6999999999998</v>
      </c>
      <c r="Q276" s="25">
        <f t="shared" si="85"/>
        <v>2127.6999999999998</v>
      </c>
      <c r="R276" s="25">
        <f>SUM(R277:R279)</f>
        <v>2127.6999999999998</v>
      </c>
      <c r="S276" s="36"/>
      <c r="T276" s="36"/>
      <c r="U276" s="36"/>
      <c r="V276" s="36"/>
      <c r="W276" s="2">
        <v>2127.6999999999998</v>
      </c>
      <c r="X276" s="2"/>
    </row>
    <row r="277" spans="1:24" ht="30.75" customHeight="1" x14ac:dyDescent="0.25">
      <c r="A277" s="325"/>
      <c r="B277" s="380"/>
      <c r="C277" s="118"/>
      <c r="D277" s="17" t="s">
        <v>17</v>
      </c>
      <c r="E277" s="18">
        <f t="shared" si="78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36"/>
      <c r="W277" s="2"/>
      <c r="X277" s="2"/>
    </row>
    <row r="278" spans="1:24" ht="39.4" customHeight="1" x14ac:dyDescent="0.25">
      <c r="A278" s="325"/>
      <c r="B278" s="380"/>
      <c r="C278" s="118"/>
      <c r="D278" s="17" t="s">
        <v>18</v>
      </c>
      <c r="E278" s="18">
        <f t="shared" si="78"/>
        <v>12000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36"/>
      <c r="W278" s="2">
        <v>2000</v>
      </c>
      <c r="X278" s="2"/>
    </row>
    <row r="279" spans="1:24" ht="36" customHeight="1" x14ac:dyDescent="0.25">
      <c r="A279" s="325"/>
      <c r="B279" s="380"/>
      <c r="C279" s="118"/>
      <c r="D279" s="17" t="s">
        <v>19</v>
      </c>
      <c r="E279" s="18">
        <f t="shared" si="78"/>
        <v>766.2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9">
        <f>127.6+0.1-0.1+0.1</f>
        <v>127.69999999999999</v>
      </c>
      <c r="P279" s="16">
        <f>127.6+0.1-0.1+0.1</f>
        <v>127.69999999999999</v>
      </c>
      <c r="Q279" s="16">
        <f>127.6+0.1-0.1+0.1</f>
        <v>127.69999999999999</v>
      </c>
      <c r="R279" s="16">
        <f>127.6+0.1-0.1+0.1</f>
        <v>127.69999999999999</v>
      </c>
      <c r="S279" s="36"/>
      <c r="T279" s="36"/>
      <c r="U279" s="36"/>
      <c r="V279" s="36"/>
      <c r="W279" s="2">
        <v>127.7</v>
      </c>
      <c r="X279" s="2"/>
    </row>
    <row r="280" spans="1:24" ht="31.9" customHeight="1" x14ac:dyDescent="0.25">
      <c r="A280" s="286"/>
      <c r="B280" s="270"/>
      <c r="C280" s="118"/>
      <c r="D280" s="17" t="s">
        <v>21</v>
      </c>
      <c r="E280" s="18">
        <f t="shared" si="78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36"/>
      <c r="W280" s="2"/>
      <c r="X280" s="2"/>
    </row>
    <row r="281" spans="1:24" ht="36" customHeight="1" x14ac:dyDescent="0.25">
      <c r="A281" s="324" t="s">
        <v>188</v>
      </c>
      <c r="B281" s="282" t="s">
        <v>189</v>
      </c>
      <c r="C281" s="118"/>
      <c r="D281" s="23" t="s">
        <v>29</v>
      </c>
      <c r="E281" s="18">
        <f t="shared" si="78"/>
        <v>6687.4</v>
      </c>
      <c r="F281" s="25">
        <f t="shared" ref="F281:Q281" si="86">SUM(F282:F284)</f>
        <v>0</v>
      </c>
      <c r="G281" s="25">
        <f t="shared" si="86"/>
        <v>0</v>
      </c>
      <c r="H281" s="25">
        <f t="shared" si="86"/>
        <v>0</v>
      </c>
      <c r="I281" s="25">
        <f t="shared" si="86"/>
        <v>0</v>
      </c>
      <c r="J281" s="25">
        <f t="shared" si="86"/>
        <v>0</v>
      </c>
      <c r="K281" s="25">
        <f t="shared" si="86"/>
        <v>0</v>
      </c>
      <c r="L281" s="25">
        <f t="shared" si="86"/>
        <v>0</v>
      </c>
      <c r="M281" s="25">
        <f t="shared" si="86"/>
        <v>1686.8</v>
      </c>
      <c r="N281" s="25">
        <f t="shared" si="86"/>
        <v>1942.9999999999998</v>
      </c>
      <c r="O281" s="25">
        <f t="shared" si="86"/>
        <v>3057.6</v>
      </c>
      <c r="P281" s="25">
        <f t="shared" si="86"/>
        <v>0</v>
      </c>
      <c r="Q281" s="25">
        <f t="shared" si="86"/>
        <v>0</v>
      </c>
      <c r="R281" s="25">
        <f>SUM(R282:R284)</f>
        <v>0</v>
      </c>
      <c r="S281" s="36"/>
      <c r="T281" s="36"/>
      <c r="U281" s="36"/>
      <c r="V281" s="36"/>
      <c r="W281" s="2">
        <v>1686.6</v>
      </c>
      <c r="X281" s="2"/>
    </row>
    <row r="282" spans="1:24" ht="30.4" customHeight="1" x14ac:dyDescent="0.25">
      <c r="A282" s="325"/>
      <c r="B282" s="369"/>
      <c r="C282" s="118"/>
      <c r="D282" s="17" t="s">
        <v>17</v>
      </c>
      <c r="E282" s="18">
        <f t="shared" si="78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36"/>
      <c r="W282" s="2"/>
      <c r="X282" s="2"/>
    </row>
    <row r="283" spans="1:24" ht="49.7" customHeight="1" x14ac:dyDescent="0.25">
      <c r="A283" s="325"/>
      <c r="B283" s="369"/>
      <c r="C283" s="118"/>
      <c r="D283" s="17" t="s">
        <v>18</v>
      </c>
      <c r="E283" s="18">
        <f t="shared" si="78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36"/>
      <c r="W283" s="2">
        <v>1585.6</v>
      </c>
      <c r="X283" s="2"/>
    </row>
    <row r="284" spans="1:24" ht="38.1" customHeight="1" x14ac:dyDescent="0.25">
      <c r="A284" s="325"/>
      <c r="B284" s="369"/>
      <c r="C284" s="118"/>
      <c r="D284" s="17" t="s">
        <v>19</v>
      </c>
      <c r="E284" s="18">
        <f t="shared" si="78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36"/>
      <c r="W284" s="2">
        <v>101.2</v>
      </c>
      <c r="X284" s="2"/>
    </row>
    <row r="285" spans="1:24" ht="30.75" customHeight="1" x14ac:dyDescent="0.25">
      <c r="A285" s="286"/>
      <c r="B285" s="146"/>
      <c r="C285" s="119"/>
      <c r="D285" s="17" t="s">
        <v>21</v>
      </c>
      <c r="E285" s="18">
        <f t="shared" si="78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36"/>
      <c r="W285" s="2"/>
      <c r="X285" s="2"/>
    </row>
    <row r="286" spans="1:24" ht="36" customHeight="1" x14ac:dyDescent="0.25">
      <c r="A286" s="324" t="s">
        <v>195</v>
      </c>
      <c r="B286" s="282" t="s">
        <v>196</v>
      </c>
      <c r="C286" s="49"/>
      <c r="D286" s="17" t="s">
        <v>29</v>
      </c>
      <c r="E286" s="18">
        <f t="shared" si="78"/>
        <v>19390.300000000003</v>
      </c>
      <c r="F286" s="19">
        <f t="shared" ref="F286:Q286" si="87">SUM(F287:F289)</f>
        <v>0</v>
      </c>
      <c r="G286" s="19">
        <f t="shared" si="87"/>
        <v>0</v>
      </c>
      <c r="H286" s="19">
        <f t="shared" si="87"/>
        <v>0</v>
      </c>
      <c r="I286" s="19">
        <f t="shared" si="87"/>
        <v>0</v>
      </c>
      <c r="J286" s="19">
        <f t="shared" si="87"/>
        <v>0</v>
      </c>
      <c r="K286" s="19">
        <f t="shared" si="87"/>
        <v>0</v>
      </c>
      <c r="L286" s="19">
        <f t="shared" si="87"/>
        <v>0</v>
      </c>
      <c r="M286" s="19">
        <f t="shared" si="87"/>
        <v>0</v>
      </c>
      <c r="N286" s="19">
        <f>SUM(N287:N289)</f>
        <v>2900.9</v>
      </c>
      <c r="O286" s="19">
        <f t="shared" si="87"/>
        <v>2127.6999999999998</v>
      </c>
      <c r="P286" s="19">
        <f t="shared" si="87"/>
        <v>4255.3</v>
      </c>
      <c r="Q286" s="19">
        <f t="shared" si="87"/>
        <v>10106.4</v>
      </c>
      <c r="R286" s="19">
        <f>SUM(R287:R289)</f>
        <v>0</v>
      </c>
      <c r="S286" s="36"/>
      <c r="T286" s="36"/>
      <c r="U286" s="36"/>
      <c r="V286" s="36"/>
      <c r="W286" s="2">
        <v>1686.6</v>
      </c>
      <c r="X286" s="2"/>
    </row>
    <row r="287" spans="1:24" ht="23.85" customHeight="1" x14ac:dyDescent="0.25">
      <c r="A287" s="325"/>
      <c r="B287" s="369"/>
      <c r="C287" s="118"/>
      <c r="D287" s="17" t="s">
        <v>17</v>
      </c>
      <c r="E287" s="18">
        <f t="shared" si="78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36"/>
      <c r="W287" s="2"/>
      <c r="X287" s="2"/>
    </row>
    <row r="288" spans="1:24" ht="26.85" customHeight="1" x14ac:dyDescent="0.25">
      <c r="A288" s="325"/>
      <c r="B288" s="369"/>
      <c r="C288" s="118"/>
      <c r="D288" s="17" t="s">
        <v>18</v>
      </c>
      <c r="E288" s="18">
        <f t="shared" si="78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36"/>
      <c r="W288" s="2">
        <v>1585.6</v>
      </c>
      <c r="X288" s="2"/>
    </row>
    <row r="289" spans="1:24" ht="25.5" customHeight="1" x14ac:dyDescent="0.25">
      <c r="A289" s="325"/>
      <c r="B289" s="369"/>
      <c r="C289" s="118"/>
      <c r="D289" s="17" t="s">
        <v>19</v>
      </c>
      <c r="E289" s="18">
        <f t="shared" si="78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36"/>
      <c r="W289" s="2">
        <v>101.2</v>
      </c>
      <c r="X289" s="2"/>
    </row>
    <row r="290" spans="1:24" ht="30.75" customHeight="1" x14ac:dyDescent="0.25">
      <c r="A290" s="286"/>
      <c r="B290" s="146"/>
      <c r="C290" s="119"/>
      <c r="D290" s="17" t="s">
        <v>21</v>
      </c>
      <c r="E290" s="18">
        <f t="shared" si="78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36"/>
      <c r="W290" s="2"/>
      <c r="X290" s="2"/>
    </row>
    <row r="291" spans="1:24" ht="30.75" customHeight="1" x14ac:dyDescent="0.25">
      <c r="A291" s="324" t="s">
        <v>238</v>
      </c>
      <c r="B291" s="282" t="s">
        <v>239</v>
      </c>
      <c r="C291" s="118"/>
      <c r="D291" s="17" t="s">
        <v>29</v>
      </c>
      <c r="E291" s="18">
        <f t="shared" si="78"/>
        <v>12652.300000000001</v>
      </c>
      <c r="F291" s="19">
        <f t="shared" ref="F291:M291" si="88">SUM(F292:F294)</f>
        <v>0</v>
      </c>
      <c r="G291" s="19">
        <f t="shared" si="88"/>
        <v>0</v>
      </c>
      <c r="H291" s="19">
        <f t="shared" si="88"/>
        <v>0</v>
      </c>
      <c r="I291" s="19">
        <f t="shared" si="88"/>
        <v>0</v>
      </c>
      <c r="J291" s="19">
        <f t="shared" si="88"/>
        <v>0</v>
      </c>
      <c r="K291" s="19">
        <f t="shared" si="88"/>
        <v>0</v>
      </c>
      <c r="L291" s="19">
        <f t="shared" si="88"/>
        <v>0</v>
      </c>
      <c r="M291" s="19">
        <f t="shared" si="88"/>
        <v>0</v>
      </c>
      <c r="N291" s="19">
        <f>SUM(N292:N294)</f>
        <v>0</v>
      </c>
      <c r="O291" s="19">
        <f>SUM(O292:O294)</f>
        <v>0</v>
      </c>
      <c r="P291" s="19">
        <f>SUM(P292:P294)</f>
        <v>12652.300000000001</v>
      </c>
      <c r="Q291" s="19">
        <f>SUM(Q292:Q294)</f>
        <v>0</v>
      </c>
      <c r="R291" s="19">
        <f>SUM(R292:R294)</f>
        <v>0</v>
      </c>
      <c r="S291" s="36"/>
      <c r="T291" s="36"/>
      <c r="U291" s="36"/>
      <c r="V291" s="36"/>
      <c r="W291" s="2"/>
      <c r="X291" s="2"/>
    </row>
    <row r="292" spans="1:24" ht="30.75" customHeight="1" x14ac:dyDescent="0.25">
      <c r="A292" s="325"/>
      <c r="B292" s="369"/>
      <c r="C292" s="118"/>
      <c r="D292" s="17" t="s">
        <v>17</v>
      </c>
      <c r="E292" s="18">
        <f t="shared" si="78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36"/>
      <c r="W292" s="2"/>
      <c r="X292" s="2"/>
    </row>
    <row r="293" spans="1:24" ht="30.75" customHeight="1" x14ac:dyDescent="0.25">
      <c r="A293" s="325"/>
      <c r="B293" s="369"/>
      <c r="C293" s="118"/>
      <c r="D293" s="17" t="s">
        <v>18</v>
      </c>
      <c r="E293" s="18">
        <f t="shared" si="78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11893.2</v>
      </c>
      <c r="Q293" s="19">
        <v>0</v>
      </c>
      <c r="R293" s="19">
        <v>0</v>
      </c>
      <c r="S293" s="36"/>
      <c r="T293" s="36"/>
      <c r="U293" s="36"/>
      <c r="V293" s="36"/>
      <c r="W293" s="2"/>
      <c r="X293" s="2"/>
    </row>
    <row r="294" spans="1:24" ht="30.75" customHeight="1" x14ac:dyDescent="0.25">
      <c r="A294" s="325"/>
      <c r="B294" s="369"/>
      <c r="C294" s="118"/>
      <c r="D294" s="17" t="s">
        <v>19</v>
      </c>
      <c r="E294" s="18">
        <f t="shared" si="78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759.1</v>
      </c>
      <c r="Q294" s="19">
        <v>0</v>
      </c>
      <c r="R294" s="19">
        <v>0</v>
      </c>
      <c r="S294" s="36"/>
      <c r="T294" s="36"/>
      <c r="U294" s="36"/>
      <c r="V294" s="36"/>
      <c r="W294" s="2"/>
      <c r="X294" s="2"/>
    </row>
    <row r="295" spans="1:24" ht="30.75" customHeight="1" x14ac:dyDescent="0.25">
      <c r="A295" s="286"/>
      <c r="B295" s="166"/>
      <c r="C295" s="118"/>
      <c r="D295" s="17" t="s">
        <v>21</v>
      </c>
      <c r="E295" s="18">
        <f t="shared" si="78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36"/>
      <c r="W295" s="2"/>
      <c r="X295" s="2"/>
    </row>
    <row r="296" spans="1:24" ht="38.1" customHeight="1" x14ac:dyDescent="0.25">
      <c r="A296" s="137" t="s">
        <v>128</v>
      </c>
      <c r="B296" s="336" t="s">
        <v>131</v>
      </c>
      <c r="C296" s="246"/>
      <c r="D296" s="39" t="s">
        <v>29</v>
      </c>
      <c r="E296" s="41">
        <f>E301</f>
        <v>4632.3</v>
      </c>
      <c r="F296" s="16"/>
      <c r="G296" s="16">
        <f t="shared" ref="G296:Q300" si="89">G301</f>
        <v>0</v>
      </c>
      <c r="H296" s="16">
        <f t="shared" si="89"/>
        <v>0</v>
      </c>
      <c r="I296" s="16">
        <f t="shared" si="89"/>
        <v>0</v>
      </c>
      <c r="J296" s="16">
        <f t="shared" si="89"/>
        <v>0</v>
      </c>
      <c r="K296" s="16">
        <f t="shared" si="89"/>
        <v>4632.3</v>
      </c>
      <c r="L296" s="16">
        <f t="shared" si="89"/>
        <v>0</v>
      </c>
      <c r="M296" s="16">
        <f t="shared" si="89"/>
        <v>0</v>
      </c>
      <c r="N296" s="16">
        <f t="shared" si="89"/>
        <v>0</v>
      </c>
      <c r="O296" s="16">
        <f t="shared" si="89"/>
        <v>0</v>
      </c>
      <c r="P296" s="16">
        <f t="shared" si="89"/>
        <v>0</v>
      </c>
      <c r="Q296" s="16">
        <f t="shared" si="89"/>
        <v>0</v>
      </c>
      <c r="R296" s="16">
        <f>R301</f>
        <v>0</v>
      </c>
      <c r="S296" s="82"/>
      <c r="T296" s="82"/>
      <c r="U296" s="82"/>
      <c r="V296" s="82"/>
      <c r="W296" s="2">
        <v>0</v>
      </c>
      <c r="X296" s="2"/>
    </row>
    <row r="297" spans="1:24" ht="28.15" customHeight="1" x14ac:dyDescent="0.25">
      <c r="A297" s="238"/>
      <c r="B297" s="388"/>
      <c r="C297" s="247"/>
      <c r="D297" s="17" t="s">
        <v>17</v>
      </c>
      <c r="E297" s="18">
        <f>SUM(F297:R297)</f>
        <v>0</v>
      </c>
      <c r="F297" s="19"/>
      <c r="G297" s="19">
        <f t="shared" si="89"/>
        <v>0</v>
      </c>
      <c r="H297" s="19">
        <f t="shared" si="89"/>
        <v>0</v>
      </c>
      <c r="I297" s="19">
        <f t="shared" si="89"/>
        <v>0</v>
      </c>
      <c r="J297" s="19">
        <f t="shared" si="89"/>
        <v>0</v>
      </c>
      <c r="K297" s="19">
        <f t="shared" si="89"/>
        <v>0</v>
      </c>
      <c r="L297" s="19">
        <f t="shared" si="89"/>
        <v>0</v>
      </c>
      <c r="M297" s="19">
        <f t="shared" si="89"/>
        <v>0</v>
      </c>
      <c r="N297" s="19">
        <f t="shared" si="89"/>
        <v>0</v>
      </c>
      <c r="O297" s="19">
        <f t="shared" si="89"/>
        <v>0</v>
      </c>
      <c r="P297" s="19">
        <f t="shared" si="89"/>
        <v>0</v>
      </c>
      <c r="Q297" s="19">
        <f t="shared" si="89"/>
        <v>0</v>
      </c>
      <c r="R297" s="19">
        <f>R302</f>
        <v>0</v>
      </c>
      <c r="S297" s="36"/>
      <c r="T297" s="36"/>
      <c r="U297" s="36"/>
      <c r="V297" s="36"/>
      <c r="W297" s="2"/>
      <c r="X297" s="2"/>
    </row>
    <row r="298" spans="1:24" ht="29.85" customHeight="1" x14ac:dyDescent="0.25">
      <c r="A298" s="240"/>
      <c r="B298" s="389"/>
      <c r="C298" s="247"/>
      <c r="D298" s="23" t="s">
        <v>18</v>
      </c>
      <c r="E298" s="18">
        <f>SUM(F298:R298)</f>
        <v>4400.7</v>
      </c>
      <c r="F298" s="25"/>
      <c r="G298" s="25">
        <f t="shared" si="89"/>
        <v>0</v>
      </c>
      <c r="H298" s="25">
        <f t="shared" si="89"/>
        <v>0</v>
      </c>
      <c r="I298" s="25">
        <f t="shared" si="89"/>
        <v>0</v>
      </c>
      <c r="J298" s="25">
        <f t="shared" si="89"/>
        <v>0</v>
      </c>
      <c r="K298" s="25">
        <f t="shared" si="89"/>
        <v>4400.7</v>
      </c>
      <c r="L298" s="25">
        <f t="shared" si="89"/>
        <v>0</v>
      </c>
      <c r="M298" s="25">
        <f t="shared" si="89"/>
        <v>0</v>
      </c>
      <c r="N298" s="25">
        <f t="shared" si="89"/>
        <v>0</v>
      </c>
      <c r="O298" s="25">
        <f t="shared" si="89"/>
        <v>0</v>
      </c>
      <c r="P298" s="25">
        <f t="shared" si="89"/>
        <v>0</v>
      </c>
      <c r="Q298" s="25">
        <f t="shared" si="89"/>
        <v>0</v>
      </c>
      <c r="R298" s="25">
        <f>R303</f>
        <v>0</v>
      </c>
      <c r="S298" s="36"/>
      <c r="T298" s="36"/>
      <c r="U298" s="36"/>
      <c r="V298" s="36"/>
      <c r="W298" s="2">
        <v>0</v>
      </c>
      <c r="X298" s="2"/>
    </row>
    <row r="299" spans="1:24" ht="31.9" customHeight="1" x14ac:dyDescent="0.25">
      <c r="A299" s="210"/>
      <c r="B299" s="222"/>
      <c r="C299" s="118"/>
      <c r="D299" s="23" t="s">
        <v>19</v>
      </c>
      <c r="E299" s="18">
        <f>SUM(F299:R299)</f>
        <v>231.6</v>
      </c>
      <c r="F299" s="19"/>
      <c r="G299" s="19">
        <f t="shared" si="89"/>
        <v>0</v>
      </c>
      <c r="H299" s="19">
        <f t="shared" si="89"/>
        <v>0</v>
      </c>
      <c r="I299" s="19">
        <f t="shared" si="89"/>
        <v>0</v>
      </c>
      <c r="J299" s="19">
        <f t="shared" si="89"/>
        <v>0</v>
      </c>
      <c r="K299" s="19">
        <f t="shared" si="89"/>
        <v>231.6</v>
      </c>
      <c r="L299" s="19">
        <f t="shared" si="89"/>
        <v>0</v>
      </c>
      <c r="M299" s="19">
        <f t="shared" si="89"/>
        <v>0</v>
      </c>
      <c r="N299" s="19">
        <f t="shared" si="89"/>
        <v>0</v>
      </c>
      <c r="O299" s="19">
        <f t="shared" si="89"/>
        <v>0</v>
      </c>
      <c r="P299" s="19">
        <f t="shared" si="89"/>
        <v>0</v>
      </c>
      <c r="Q299" s="19">
        <f t="shared" si="89"/>
        <v>0</v>
      </c>
      <c r="R299" s="19">
        <f>R304</f>
        <v>0</v>
      </c>
      <c r="S299" s="36"/>
      <c r="T299" s="36"/>
      <c r="U299" s="36"/>
      <c r="V299" s="36"/>
      <c r="W299" s="2">
        <v>0</v>
      </c>
      <c r="X299" s="2"/>
    </row>
    <row r="300" spans="1:24" ht="34.9" customHeight="1" x14ac:dyDescent="0.25">
      <c r="A300" s="211"/>
      <c r="B300" s="223"/>
      <c r="C300" s="118"/>
      <c r="D300" s="17" t="s">
        <v>21</v>
      </c>
      <c r="E300" s="18">
        <f>SUM(F300:R300)</f>
        <v>0</v>
      </c>
      <c r="F300" s="19"/>
      <c r="G300" s="19">
        <f t="shared" si="89"/>
        <v>0</v>
      </c>
      <c r="H300" s="19">
        <f t="shared" si="89"/>
        <v>0</v>
      </c>
      <c r="I300" s="19">
        <f t="shared" si="89"/>
        <v>0</v>
      </c>
      <c r="J300" s="19">
        <f t="shared" si="89"/>
        <v>0</v>
      </c>
      <c r="K300" s="19">
        <f t="shared" si="89"/>
        <v>0</v>
      </c>
      <c r="L300" s="19">
        <f t="shared" si="89"/>
        <v>0</v>
      </c>
      <c r="M300" s="19">
        <f t="shared" si="89"/>
        <v>0</v>
      </c>
      <c r="N300" s="19">
        <f t="shared" si="89"/>
        <v>0</v>
      </c>
      <c r="O300" s="19">
        <f t="shared" si="89"/>
        <v>0</v>
      </c>
      <c r="P300" s="19">
        <f t="shared" si="89"/>
        <v>0</v>
      </c>
      <c r="Q300" s="19">
        <f t="shared" si="89"/>
        <v>0</v>
      </c>
      <c r="R300" s="19">
        <f>R305</f>
        <v>0</v>
      </c>
      <c r="S300" s="36"/>
      <c r="T300" s="36"/>
      <c r="U300" s="36"/>
      <c r="V300" s="36"/>
      <c r="W300" s="2"/>
      <c r="X300" s="2"/>
    </row>
    <row r="301" spans="1:24" ht="30.75" customHeight="1" x14ac:dyDescent="0.25">
      <c r="A301" s="325" t="s">
        <v>129</v>
      </c>
      <c r="B301" s="282" t="s">
        <v>130</v>
      </c>
      <c r="C301" s="116"/>
      <c r="D301" s="17" t="s">
        <v>29</v>
      </c>
      <c r="E301" s="18">
        <f>SUM(F301:R301)</f>
        <v>4632.3</v>
      </c>
      <c r="F301" s="19">
        <f t="shared" ref="F301:Q301" si="90">SUM(F302:F304)</f>
        <v>0</v>
      </c>
      <c r="G301" s="19">
        <f t="shared" si="90"/>
        <v>0</v>
      </c>
      <c r="H301" s="19">
        <f t="shared" si="90"/>
        <v>0</v>
      </c>
      <c r="I301" s="19">
        <f t="shared" si="90"/>
        <v>0</v>
      </c>
      <c r="J301" s="19">
        <f t="shared" si="90"/>
        <v>0</v>
      </c>
      <c r="K301" s="19">
        <f t="shared" si="90"/>
        <v>4632.3</v>
      </c>
      <c r="L301" s="19">
        <f t="shared" si="90"/>
        <v>0</v>
      </c>
      <c r="M301" s="19">
        <f t="shared" si="90"/>
        <v>0</v>
      </c>
      <c r="N301" s="19">
        <f t="shared" si="90"/>
        <v>0</v>
      </c>
      <c r="O301" s="19">
        <f t="shared" si="90"/>
        <v>0</v>
      </c>
      <c r="P301" s="19">
        <f t="shared" si="90"/>
        <v>0</v>
      </c>
      <c r="Q301" s="19">
        <f t="shared" si="90"/>
        <v>0</v>
      </c>
      <c r="R301" s="19">
        <f>SUM(R302:R304)</f>
        <v>0</v>
      </c>
      <c r="S301" s="36"/>
      <c r="T301" s="36"/>
      <c r="U301" s="36"/>
      <c r="V301" s="36"/>
      <c r="W301" s="2">
        <v>0</v>
      </c>
      <c r="X301" s="2"/>
    </row>
    <row r="302" spans="1:24" ht="33.4" customHeight="1" x14ac:dyDescent="0.25">
      <c r="A302" s="337"/>
      <c r="B302" s="378"/>
      <c r="C302" s="116"/>
      <c r="D302" s="17" t="s">
        <v>17</v>
      </c>
      <c r="E302" s="18">
        <f t="shared" ref="E302:E310" si="91">SUM(F302:R302)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36"/>
      <c r="W302" s="2"/>
      <c r="X302" s="2"/>
    </row>
    <row r="303" spans="1:24" ht="24.4" customHeight="1" x14ac:dyDescent="0.25">
      <c r="A303" s="337"/>
      <c r="B303" s="378"/>
      <c r="C303" s="117"/>
      <c r="D303" s="17" t="s">
        <v>18</v>
      </c>
      <c r="E303" s="18">
        <f t="shared" si="91"/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36"/>
      <c r="W303" s="2"/>
      <c r="X303" s="2"/>
    </row>
    <row r="304" spans="1:24" ht="28.15" customHeight="1" x14ac:dyDescent="0.25">
      <c r="A304" s="337"/>
      <c r="B304" s="378"/>
      <c r="C304" s="116"/>
      <c r="D304" s="23" t="s">
        <v>19</v>
      </c>
      <c r="E304" s="18">
        <f t="shared" si="91"/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36"/>
      <c r="W304" s="2"/>
      <c r="X304" s="2"/>
    </row>
    <row r="305" spans="1:55" ht="30.75" customHeight="1" x14ac:dyDescent="0.25">
      <c r="A305" s="353"/>
      <c r="B305" s="384"/>
      <c r="C305" s="117"/>
      <c r="D305" s="17" t="s">
        <v>21</v>
      </c>
      <c r="E305" s="18">
        <f t="shared" si="91"/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36"/>
      <c r="W305" s="2"/>
      <c r="X305" s="2"/>
    </row>
    <row r="306" spans="1:55" ht="26.25" customHeight="1" x14ac:dyDescent="0.25">
      <c r="A306" s="334" t="s">
        <v>142</v>
      </c>
      <c r="B306" s="342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92">G311</f>
        <v>0</v>
      </c>
      <c r="H306" s="16">
        <f t="shared" si="92"/>
        <v>0</v>
      </c>
      <c r="I306" s="16">
        <f t="shared" si="92"/>
        <v>0</v>
      </c>
      <c r="J306" s="16">
        <f t="shared" si="92"/>
        <v>0</v>
      </c>
      <c r="K306" s="16">
        <f t="shared" si="92"/>
        <v>0</v>
      </c>
      <c r="L306" s="16">
        <f t="shared" si="92"/>
        <v>1500</v>
      </c>
      <c r="M306" s="16">
        <f t="shared" si="92"/>
        <v>1500</v>
      </c>
      <c r="N306" s="16">
        <f t="shared" si="92"/>
        <v>0</v>
      </c>
      <c r="O306" s="16">
        <f t="shared" si="92"/>
        <v>0</v>
      </c>
      <c r="P306" s="16">
        <f t="shared" si="92"/>
        <v>0</v>
      </c>
      <c r="Q306" s="16">
        <f t="shared" si="92"/>
        <v>0</v>
      </c>
      <c r="R306" s="16">
        <f>R311</f>
        <v>0</v>
      </c>
      <c r="S306" s="82"/>
      <c r="T306" s="82"/>
      <c r="U306" s="82"/>
      <c r="V306" s="82"/>
      <c r="W306" s="2">
        <v>1500</v>
      </c>
      <c r="X306" s="2"/>
    </row>
    <row r="307" spans="1:55" ht="33.4" customHeight="1" x14ac:dyDescent="0.25">
      <c r="A307" s="335"/>
      <c r="B307" s="327"/>
      <c r="C307" s="119"/>
      <c r="D307" s="17" t="s">
        <v>17</v>
      </c>
      <c r="E307" s="18">
        <f t="shared" si="91"/>
        <v>0</v>
      </c>
      <c r="F307" s="19"/>
      <c r="G307" s="19">
        <f t="shared" si="92"/>
        <v>0</v>
      </c>
      <c r="H307" s="19">
        <f t="shared" si="92"/>
        <v>0</v>
      </c>
      <c r="I307" s="19">
        <f t="shared" si="92"/>
        <v>0</v>
      </c>
      <c r="J307" s="19">
        <f t="shared" si="92"/>
        <v>0</v>
      </c>
      <c r="K307" s="19">
        <f t="shared" si="92"/>
        <v>0</v>
      </c>
      <c r="L307" s="19">
        <f t="shared" si="92"/>
        <v>0</v>
      </c>
      <c r="M307" s="19">
        <f t="shared" si="92"/>
        <v>0</v>
      </c>
      <c r="N307" s="19">
        <f t="shared" si="92"/>
        <v>0</v>
      </c>
      <c r="O307" s="19">
        <f t="shared" si="92"/>
        <v>0</v>
      </c>
      <c r="P307" s="19">
        <f t="shared" si="92"/>
        <v>0</v>
      </c>
      <c r="Q307" s="19">
        <f t="shared" si="92"/>
        <v>0</v>
      </c>
      <c r="R307" s="19">
        <f>R312</f>
        <v>0</v>
      </c>
      <c r="S307" s="36"/>
      <c r="T307" s="36"/>
      <c r="U307" s="36"/>
      <c r="V307" s="36"/>
      <c r="W307" s="2"/>
      <c r="X307" s="2"/>
    </row>
    <row r="308" spans="1:55" ht="33.4" customHeight="1" x14ac:dyDescent="0.25">
      <c r="A308" s="335"/>
      <c r="B308" s="327"/>
      <c r="C308" s="118"/>
      <c r="D308" s="23" t="s">
        <v>18</v>
      </c>
      <c r="E308" s="18">
        <f t="shared" si="91"/>
        <v>0</v>
      </c>
      <c r="F308" s="25"/>
      <c r="G308" s="25">
        <f t="shared" si="92"/>
        <v>0</v>
      </c>
      <c r="H308" s="25">
        <f t="shared" si="92"/>
        <v>0</v>
      </c>
      <c r="I308" s="25">
        <f t="shared" si="92"/>
        <v>0</v>
      </c>
      <c r="J308" s="25">
        <f t="shared" si="92"/>
        <v>0</v>
      </c>
      <c r="K308" s="25">
        <f t="shared" si="92"/>
        <v>0</v>
      </c>
      <c r="L308" s="25">
        <f t="shared" si="92"/>
        <v>0</v>
      </c>
      <c r="M308" s="25">
        <f t="shared" si="92"/>
        <v>0</v>
      </c>
      <c r="N308" s="25">
        <f t="shared" si="92"/>
        <v>0</v>
      </c>
      <c r="O308" s="25">
        <f t="shared" si="92"/>
        <v>0</v>
      </c>
      <c r="P308" s="25">
        <f t="shared" si="92"/>
        <v>0</v>
      </c>
      <c r="Q308" s="25">
        <f t="shared" si="92"/>
        <v>0</v>
      </c>
      <c r="R308" s="25">
        <f>R313</f>
        <v>0</v>
      </c>
      <c r="S308" s="36"/>
      <c r="T308" s="36"/>
      <c r="U308" s="36"/>
      <c r="V308" s="36"/>
      <c r="W308" s="2"/>
      <c r="X308" s="2"/>
    </row>
    <row r="309" spans="1:55" ht="41.25" customHeight="1" x14ac:dyDescent="0.25">
      <c r="A309" s="81"/>
      <c r="B309" s="140"/>
      <c r="C309" s="119"/>
      <c r="D309" s="17" t="s">
        <v>19</v>
      </c>
      <c r="E309" s="18">
        <f t="shared" si="91"/>
        <v>3000</v>
      </c>
      <c r="F309" s="19"/>
      <c r="G309" s="19">
        <f t="shared" si="92"/>
        <v>0</v>
      </c>
      <c r="H309" s="19">
        <f t="shared" si="92"/>
        <v>0</v>
      </c>
      <c r="I309" s="19">
        <f t="shared" si="92"/>
        <v>0</v>
      </c>
      <c r="J309" s="19">
        <f t="shared" si="92"/>
        <v>0</v>
      </c>
      <c r="K309" s="19">
        <f t="shared" si="92"/>
        <v>0</v>
      </c>
      <c r="L309" s="19">
        <f t="shared" si="92"/>
        <v>1500</v>
      </c>
      <c r="M309" s="19">
        <f t="shared" si="92"/>
        <v>1500</v>
      </c>
      <c r="N309" s="19">
        <f t="shared" si="92"/>
        <v>0</v>
      </c>
      <c r="O309" s="19">
        <f t="shared" si="92"/>
        <v>0</v>
      </c>
      <c r="P309" s="19">
        <f t="shared" si="92"/>
        <v>0</v>
      </c>
      <c r="Q309" s="19">
        <f t="shared" si="92"/>
        <v>0</v>
      </c>
      <c r="R309" s="19">
        <f>R314</f>
        <v>0</v>
      </c>
      <c r="S309" s="36"/>
      <c r="T309" s="36"/>
      <c r="U309" s="36"/>
      <c r="V309" s="36"/>
      <c r="W309" s="2">
        <v>1500</v>
      </c>
      <c r="X309" s="2"/>
    </row>
    <row r="310" spans="1:55" ht="36" customHeight="1" x14ac:dyDescent="0.25">
      <c r="A310" s="51"/>
      <c r="B310" s="141"/>
      <c r="C310" s="119"/>
      <c r="D310" s="23" t="s">
        <v>21</v>
      </c>
      <c r="E310" s="18">
        <f t="shared" si="91"/>
        <v>0</v>
      </c>
      <c r="F310" s="19"/>
      <c r="G310" s="19">
        <f t="shared" si="92"/>
        <v>0</v>
      </c>
      <c r="H310" s="19">
        <f t="shared" si="92"/>
        <v>0</v>
      </c>
      <c r="I310" s="19">
        <f t="shared" si="92"/>
        <v>0</v>
      </c>
      <c r="J310" s="19">
        <f t="shared" si="92"/>
        <v>0</v>
      </c>
      <c r="K310" s="19">
        <f t="shared" si="92"/>
        <v>0</v>
      </c>
      <c r="L310" s="19">
        <f t="shared" si="92"/>
        <v>0</v>
      </c>
      <c r="M310" s="19">
        <f t="shared" si="92"/>
        <v>0</v>
      </c>
      <c r="N310" s="19">
        <f t="shared" si="92"/>
        <v>0</v>
      </c>
      <c r="O310" s="19">
        <f t="shared" si="92"/>
        <v>0</v>
      </c>
      <c r="P310" s="19">
        <f t="shared" si="92"/>
        <v>0</v>
      </c>
      <c r="Q310" s="19">
        <f t="shared" si="92"/>
        <v>0</v>
      </c>
      <c r="R310" s="19">
        <f>R315</f>
        <v>0</v>
      </c>
      <c r="S310" s="36"/>
      <c r="T310" s="36"/>
      <c r="U310" s="36"/>
      <c r="V310" s="36"/>
      <c r="W310" s="2"/>
      <c r="X310" s="2"/>
    </row>
    <row r="311" spans="1:55" ht="22.9" customHeight="1" x14ac:dyDescent="0.25">
      <c r="A311" s="325" t="s">
        <v>144</v>
      </c>
      <c r="B311" s="282" t="s">
        <v>145</v>
      </c>
      <c r="C311" s="49"/>
      <c r="D311" s="17" t="s">
        <v>29</v>
      </c>
      <c r="E311" s="18">
        <f>SUM(F311:R311)</f>
        <v>3000</v>
      </c>
      <c r="F311" s="19">
        <f t="shared" ref="F311:Q311" si="93">SUM(F312:F314)</f>
        <v>0</v>
      </c>
      <c r="G311" s="19">
        <f t="shared" si="93"/>
        <v>0</v>
      </c>
      <c r="H311" s="19">
        <f t="shared" si="93"/>
        <v>0</v>
      </c>
      <c r="I311" s="19">
        <f t="shared" si="93"/>
        <v>0</v>
      </c>
      <c r="J311" s="19">
        <f t="shared" si="93"/>
        <v>0</v>
      </c>
      <c r="K311" s="19">
        <f t="shared" si="93"/>
        <v>0</v>
      </c>
      <c r="L311" s="19">
        <f t="shared" si="93"/>
        <v>1500</v>
      </c>
      <c r="M311" s="19">
        <f t="shared" si="93"/>
        <v>1500</v>
      </c>
      <c r="N311" s="19">
        <f t="shared" si="93"/>
        <v>0</v>
      </c>
      <c r="O311" s="19">
        <f t="shared" si="93"/>
        <v>0</v>
      </c>
      <c r="P311" s="19">
        <f t="shared" si="93"/>
        <v>0</v>
      </c>
      <c r="Q311" s="19">
        <f t="shared" si="93"/>
        <v>0</v>
      </c>
      <c r="R311" s="19">
        <f>SUM(R312:R314)</f>
        <v>0</v>
      </c>
      <c r="S311" s="36"/>
      <c r="T311" s="36"/>
      <c r="U311" s="36"/>
      <c r="V311" s="36"/>
      <c r="W311" s="2">
        <v>1500</v>
      </c>
      <c r="X311" s="2"/>
    </row>
    <row r="312" spans="1:55" ht="38.85" customHeight="1" x14ac:dyDescent="0.25">
      <c r="A312" s="337"/>
      <c r="B312" s="369"/>
      <c r="C312" s="119"/>
      <c r="D312" s="17" t="s">
        <v>17</v>
      </c>
      <c r="E312" s="18">
        <f t="shared" ref="E312:E364" si="94">SUM(F312:R312)</f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36"/>
      <c r="W312" s="2"/>
      <c r="X312" s="2"/>
    </row>
    <row r="313" spans="1:55" ht="36" customHeight="1" x14ac:dyDescent="0.25">
      <c r="A313" s="123"/>
      <c r="B313" s="369"/>
      <c r="C313" s="119"/>
      <c r="D313" s="23" t="s">
        <v>18</v>
      </c>
      <c r="E313" s="18">
        <f t="shared" si="94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36"/>
      <c r="W313" s="2"/>
      <c r="X313" s="2"/>
    </row>
    <row r="314" spans="1:55" ht="33.4" customHeight="1" x14ac:dyDescent="0.25">
      <c r="A314" s="123"/>
      <c r="B314" s="109"/>
      <c r="C314" s="118"/>
      <c r="D314" s="23" t="s">
        <v>19</v>
      </c>
      <c r="E314" s="18">
        <f t="shared" si="94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36"/>
      <c r="W314" s="2">
        <v>1500</v>
      </c>
      <c r="X314" s="2"/>
    </row>
    <row r="315" spans="1:55" ht="31.9" customHeight="1" x14ac:dyDescent="0.25">
      <c r="A315" s="209"/>
      <c r="B315" s="224"/>
      <c r="C315" s="119"/>
      <c r="D315" s="17" t="s">
        <v>21</v>
      </c>
      <c r="E315" s="18">
        <f t="shared" si="94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36"/>
      <c r="W315" s="2"/>
      <c r="X315" s="2"/>
    </row>
    <row r="316" spans="1:55" ht="39.950000000000003" customHeight="1" x14ac:dyDescent="0.25">
      <c r="A316" s="212" t="s">
        <v>153</v>
      </c>
      <c r="B316" s="213" t="s">
        <v>177</v>
      </c>
      <c r="C316" s="49"/>
      <c r="D316" s="14" t="s">
        <v>29</v>
      </c>
      <c r="E316" s="15">
        <f>SUM(F316:R316)</f>
        <v>4627883.3</v>
      </c>
      <c r="F316" s="16"/>
      <c r="G316" s="16">
        <f t="shared" ref="G316:N318" si="95">G323</f>
        <v>0</v>
      </c>
      <c r="H316" s="16">
        <f t="shared" si="95"/>
        <v>0</v>
      </c>
      <c r="I316" s="16">
        <f t="shared" si="95"/>
        <v>0</v>
      </c>
      <c r="J316" s="16">
        <f t="shared" si="95"/>
        <v>0</v>
      </c>
      <c r="K316" s="16">
        <f t="shared" si="95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634172.1</v>
      </c>
      <c r="R316" s="16">
        <f>R317+R318+R319+R320+R321+R322</f>
        <v>633862.70000000007</v>
      </c>
      <c r="S316" s="82"/>
      <c r="T316" s="82"/>
      <c r="U316" s="82"/>
      <c r="V316" s="82"/>
      <c r="W316" s="2"/>
      <c r="X316" s="2"/>
      <c r="BC316" s="2"/>
    </row>
    <row r="317" spans="1:55" ht="32.1" customHeight="1" x14ac:dyDescent="0.25">
      <c r="A317" s="221"/>
      <c r="B317" s="209"/>
      <c r="C317" s="162"/>
      <c r="D317" s="17" t="s">
        <v>17</v>
      </c>
      <c r="E317" s="18">
        <f t="shared" si="94"/>
        <v>1498640.1</v>
      </c>
      <c r="F317" s="19"/>
      <c r="G317" s="19">
        <f t="shared" si="95"/>
        <v>0</v>
      </c>
      <c r="H317" s="19">
        <f t="shared" si="95"/>
        <v>0</v>
      </c>
      <c r="I317" s="19">
        <f t="shared" si="95"/>
        <v>0</v>
      </c>
      <c r="J317" s="19">
        <f t="shared" si="95"/>
        <v>0</v>
      </c>
      <c r="K317" s="19">
        <f t="shared" si="95"/>
        <v>0</v>
      </c>
      <c r="L317" s="19">
        <f t="shared" si="95"/>
        <v>0</v>
      </c>
      <c r="M317" s="19">
        <f t="shared" si="95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0</v>
      </c>
      <c r="R317" s="19">
        <f>R336</f>
        <v>0</v>
      </c>
      <c r="S317" s="36"/>
      <c r="T317" s="36"/>
      <c r="U317" s="36"/>
      <c r="V317" s="36"/>
      <c r="W317" s="2"/>
      <c r="X317" s="2"/>
    </row>
    <row r="318" spans="1:55" ht="32.85" customHeight="1" x14ac:dyDescent="0.25">
      <c r="A318" s="221"/>
      <c r="B318" s="224"/>
      <c r="C318" s="161"/>
      <c r="D318" s="23" t="s">
        <v>18</v>
      </c>
      <c r="E318" s="18">
        <f t="shared" si="94"/>
        <v>2968024.3</v>
      </c>
      <c r="F318" s="25"/>
      <c r="G318" s="25">
        <f t="shared" si="95"/>
        <v>0</v>
      </c>
      <c r="H318" s="25">
        <f t="shared" si="95"/>
        <v>0</v>
      </c>
      <c r="I318" s="25">
        <f t="shared" si="95"/>
        <v>0</v>
      </c>
      <c r="J318" s="25">
        <f t="shared" si="95"/>
        <v>0</v>
      </c>
      <c r="K318" s="25">
        <f t="shared" si="95"/>
        <v>0</v>
      </c>
      <c r="L318" s="25">
        <f t="shared" si="95"/>
        <v>495301.8</v>
      </c>
      <c r="M318" s="25">
        <f>M325</f>
        <v>910183.2</v>
      </c>
      <c r="N318" s="25">
        <f t="shared" si="95"/>
        <v>251717.4</v>
      </c>
      <c r="O318" s="25">
        <f>O337+O325</f>
        <v>106693.2</v>
      </c>
      <c r="P318" s="25">
        <f>P337</f>
        <v>21060.3</v>
      </c>
      <c r="Q318" s="25">
        <f>Q337</f>
        <v>592391.1</v>
      </c>
      <c r="R318" s="25">
        <f>R337</f>
        <v>590677.30000000005</v>
      </c>
      <c r="S318" s="36"/>
      <c r="T318" s="36"/>
      <c r="U318" s="36"/>
      <c r="V318" s="36"/>
      <c r="W318" s="2"/>
      <c r="X318" s="2"/>
    </row>
    <row r="319" spans="1:55" ht="54" customHeight="1" x14ac:dyDescent="0.25">
      <c r="A319" s="221"/>
      <c r="B319" s="224"/>
      <c r="C319" s="161"/>
      <c r="D319" s="17" t="s">
        <v>181</v>
      </c>
      <c r="E319" s="18">
        <f t="shared" si="94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36"/>
      <c r="W319" s="2"/>
      <c r="X319" s="2"/>
    </row>
    <row r="320" spans="1:55" ht="33.4" customHeight="1" x14ac:dyDescent="0.25">
      <c r="A320" s="221"/>
      <c r="B320" s="224"/>
      <c r="C320" s="162"/>
      <c r="D320" s="17" t="s">
        <v>19</v>
      </c>
      <c r="E320" s="18">
        <f t="shared" si="94"/>
        <v>161218.90000000002</v>
      </c>
      <c r="F320" s="19"/>
      <c r="G320" s="19">
        <f t="shared" ref="G320:L320" si="96">G327</f>
        <v>0</v>
      </c>
      <c r="H320" s="19">
        <f t="shared" si="96"/>
        <v>0</v>
      </c>
      <c r="I320" s="19">
        <f t="shared" si="96"/>
        <v>0</v>
      </c>
      <c r="J320" s="19">
        <f t="shared" si="96"/>
        <v>0</v>
      </c>
      <c r="K320" s="19">
        <f t="shared" si="96"/>
        <v>0</v>
      </c>
      <c r="L320" s="19">
        <f t="shared" si="96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36"/>
      <c r="W320" s="2"/>
      <c r="X320" s="2"/>
    </row>
    <row r="321" spans="1:24" ht="51.75" customHeight="1" x14ac:dyDescent="0.25">
      <c r="A321" s="221"/>
      <c r="B321" s="224"/>
      <c r="C321" s="161"/>
      <c r="D321" s="23" t="s">
        <v>181</v>
      </c>
      <c r="E321" s="18">
        <f t="shared" si="94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36"/>
      <c r="W321" s="2"/>
      <c r="X321" s="2"/>
    </row>
    <row r="322" spans="1:24" ht="34.9" customHeight="1" x14ac:dyDescent="0.25">
      <c r="A322" s="88"/>
      <c r="B322" s="225"/>
      <c r="C322" s="162"/>
      <c r="D322" s="17" t="s">
        <v>21</v>
      </c>
      <c r="E322" s="18">
        <f t="shared" si="94"/>
        <v>0</v>
      </c>
      <c r="F322" s="19"/>
      <c r="G322" s="19">
        <f t="shared" ref="G322:Q322" si="97">G329</f>
        <v>0</v>
      </c>
      <c r="H322" s="19">
        <f t="shared" si="97"/>
        <v>0</v>
      </c>
      <c r="I322" s="19">
        <f t="shared" si="97"/>
        <v>0</v>
      </c>
      <c r="J322" s="19">
        <f t="shared" si="97"/>
        <v>0</v>
      </c>
      <c r="K322" s="19">
        <f t="shared" si="97"/>
        <v>0</v>
      </c>
      <c r="L322" s="19">
        <f t="shared" si="97"/>
        <v>0</v>
      </c>
      <c r="M322" s="19">
        <f t="shared" si="97"/>
        <v>0</v>
      </c>
      <c r="N322" s="19">
        <f t="shared" si="97"/>
        <v>0</v>
      </c>
      <c r="O322" s="19">
        <f t="shared" si="97"/>
        <v>0</v>
      </c>
      <c r="P322" s="19">
        <f t="shared" si="97"/>
        <v>0</v>
      </c>
      <c r="Q322" s="19">
        <f t="shared" si="97"/>
        <v>0</v>
      </c>
      <c r="R322" s="19">
        <f>R329</f>
        <v>0</v>
      </c>
      <c r="S322" s="36"/>
      <c r="T322" s="36"/>
      <c r="U322" s="36"/>
      <c r="V322" s="36"/>
      <c r="W322" s="2"/>
      <c r="X322" s="2"/>
    </row>
    <row r="323" spans="1:24" ht="30.4" customHeight="1" x14ac:dyDescent="0.25">
      <c r="A323" s="381" t="s">
        <v>154</v>
      </c>
      <c r="B323" s="307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94"/>
        <v>2541099.9</v>
      </c>
      <c r="F323" s="19">
        <f t="shared" ref="F323:Q323" si="98">SUM(F324:F327)</f>
        <v>0</v>
      </c>
      <c r="G323" s="19">
        <f t="shared" si="98"/>
        <v>0</v>
      </c>
      <c r="H323" s="19">
        <f t="shared" si="98"/>
        <v>0</v>
      </c>
      <c r="I323" s="19">
        <f t="shared" si="98"/>
        <v>0</v>
      </c>
      <c r="J323" s="19">
        <f t="shared" si="98"/>
        <v>0</v>
      </c>
      <c r="K323" s="19">
        <f t="shared" si="98"/>
        <v>0</v>
      </c>
      <c r="L323" s="19">
        <f t="shared" si="98"/>
        <v>526916.80000000005</v>
      </c>
      <c r="M323" s="19">
        <f>M325+M324+M327</f>
        <v>935620.7</v>
      </c>
      <c r="N323" s="19">
        <f t="shared" si="98"/>
        <v>974073.99999999988</v>
      </c>
      <c r="O323" s="19">
        <f t="shared" si="98"/>
        <v>104488.4</v>
      </c>
      <c r="P323" s="19">
        <f t="shared" si="98"/>
        <v>0</v>
      </c>
      <c r="Q323" s="19">
        <f t="shared" si="98"/>
        <v>0</v>
      </c>
      <c r="R323" s="19">
        <f>SUM(R324:R327)</f>
        <v>0</v>
      </c>
      <c r="S323" s="36"/>
      <c r="T323" s="36"/>
      <c r="U323" s="36"/>
      <c r="V323" s="36"/>
      <c r="W323" s="2">
        <v>935620.7</v>
      </c>
      <c r="X323" s="2">
        <v>636456.69999999995</v>
      </c>
    </row>
    <row r="324" spans="1:24" ht="40.700000000000003" customHeight="1" x14ac:dyDescent="0.25">
      <c r="A324" s="382"/>
      <c r="B324" s="301"/>
      <c r="C324" s="119"/>
      <c r="D324" s="17" t="s">
        <v>17</v>
      </c>
      <c r="E324" s="18">
        <f t="shared" si="94"/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36"/>
      <c r="W324" s="2"/>
      <c r="X324" s="2"/>
    </row>
    <row r="325" spans="1:24" ht="36.6" customHeight="1" x14ac:dyDescent="0.25">
      <c r="A325" s="32"/>
      <c r="B325" s="249"/>
      <c r="C325" s="247"/>
      <c r="D325" s="23" t="s">
        <v>18</v>
      </c>
      <c r="E325" s="18">
        <f t="shared" si="94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36"/>
      <c r="W325" s="2"/>
      <c r="X325" s="2"/>
    </row>
    <row r="326" spans="1:24" ht="72.599999999999994" customHeight="1" x14ac:dyDescent="0.25">
      <c r="A326" s="67"/>
      <c r="B326" s="145"/>
      <c r="C326" s="118"/>
      <c r="D326" s="23" t="s">
        <v>181</v>
      </c>
      <c r="E326" s="18">
        <f t="shared" si="94"/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36"/>
      <c r="W326" s="2"/>
      <c r="X326" s="2"/>
    </row>
    <row r="327" spans="1:24" ht="39.4" customHeight="1" x14ac:dyDescent="0.25">
      <c r="A327" s="67"/>
      <c r="B327" s="145"/>
      <c r="C327" s="118"/>
      <c r="D327" s="23" t="s">
        <v>19</v>
      </c>
      <c r="E327" s="18">
        <f t="shared" si="94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36"/>
      <c r="W327" s="2"/>
      <c r="X327" s="2"/>
    </row>
    <row r="328" spans="1:24" ht="53.25" customHeight="1" x14ac:dyDescent="0.25">
      <c r="A328" s="67"/>
      <c r="B328" s="145"/>
      <c r="C328" s="118"/>
      <c r="D328" s="17" t="s">
        <v>181</v>
      </c>
      <c r="E328" s="18">
        <f t="shared" si="94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36"/>
      <c r="W328" s="2"/>
      <c r="X328" s="2"/>
    </row>
    <row r="329" spans="1:24" ht="40.9" customHeight="1" x14ac:dyDescent="0.25">
      <c r="A329" s="32"/>
      <c r="B329" s="146"/>
      <c r="C329" s="118"/>
      <c r="D329" s="17" t="s">
        <v>21</v>
      </c>
      <c r="E329" s="18">
        <f t="shared" si="94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36"/>
      <c r="W329" s="2"/>
      <c r="X329" s="2"/>
    </row>
    <row r="330" spans="1:24" ht="40.9" customHeight="1" x14ac:dyDescent="0.25">
      <c r="A330" s="381" t="s">
        <v>193</v>
      </c>
      <c r="B330" s="307" t="s">
        <v>201</v>
      </c>
      <c r="C330" s="118"/>
      <c r="D330" s="14" t="s">
        <v>4</v>
      </c>
      <c r="E330" s="18">
        <f t="shared" si="94"/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36"/>
      <c r="W330" s="2"/>
      <c r="X330" s="2"/>
    </row>
    <row r="331" spans="1:24" ht="69" customHeight="1" x14ac:dyDescent="0.25">
      <c r="A331" s="382"/>
      <c r="B331" s="307"/>
      <c r="C331" s="118"/>
      <c r="D331" s="17" t="s">
        <v>17</v>
      </c>
      <c r="E331" s="18">
        <f t="shared" si="94"/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36"/>
      <c r="W331" s="2"/>
      <c r="X331" s="2"/>
    </row>
    <row r="332" spans="1:24" ht="40.9" customHeight="1" x14ac:dyDescent="0.25">
      <c r="A332" s="67"/>
      <c r="B332" s="145"/>
      <c r="C332" s="118"/>
      <c r="D332" s="17" t="s">
        <v>18</v>
      </c>
      <c r="E332" s="18">
        <f t="shared" si="94"/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36"/>
      <c r="W332" s="2"/>
      <c r="X332" s="2"/>
    </row>
    <row r="333" spans="1:24" ht="40.9" customHeight="1" x14ac:dyDescent="0.25">
      <c r="A333" s="67"/>
      <c r="B333" s="145"/>
      <c r="C333" s="118"/>
      <c r="D333" s="17" t="s">
        <v>19</v>
      </c>
      <c r="E333" s="18">
        <f t="shared" si="94"/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36"/>
      <c r="W333" s="2"/>
      <c r="X333" s="2"/>
    </row>
    <row r="334" spans="1:24" ht="40.9" customHeight="1" x14ac:dyDescent="0.25">
      <c r="A334" s="32"/>
      <c r="B334" s="146"/>
      <c r="C334" s="119"/>
      <c r="D334" s="17" t="s">
        <v>21</v>
      </c>
      <c r="E334" s="18">
        <f t="shared" si="94"/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36"/>
      <c r="W334" s="2"/>
      <c r="X334" s="2"/>
    </row>
    <row r="335" spans="1:24" ht="40.9" customHeight="1" x14ac:dyDescent="0.25">
      <c r="A335" s="386" t="s">
        <v>250</v>
      </c>
      <c r="B335" s="282" t="s">
        <v>200</v>
      </c>
      <c r="C335" s="118"/>
      <c r="D335" s="39" t="s">
        <v>4</v>
      </c>
      <c r="E335" s="18">
        <f t="shared" si="94"/>
        <v>2086554.2000000002</v>
      </c>
      <c r="F335" s="25"/>
      <c r="G335" s="24">
        <f>SUM(G336:G339)</f>
        <v>0</v>
      </c>
      <c r="H335" s="24">
        <f t="shared" ref="H335:Q335" si="99">SUM(H336:H339)</f>
        <v>0</v>
      </c>
      <c r="I335" s="24">
        <f t="shared" si="99"/>
        <v>0</v>
      </c>
      <c r="J335" s="24">
        <f t="shared" si="99"/>
        <v>0</v>
      </c>
      <c r="K335" s="24">
        <f t="shared" si="99"/>
        <v>0</v>
      </c>
      <c r="L335" s="24">
        <f t="shared" si="99"/>
        <v>0</v>
      </c>
      <c r="M335" s="24">
        <f t="shared" si="99"/>
        <v>0</v>
      </c>
      <c r="N335" s="24">
        <f t="shared" si="99"/>
        <v>0</v>
      </c>
      <c r="O335" s="24">
        <f>SUM(O336:O339)</f>
        <v>109417.2</v>
      </c>
      <c r="P335" s="24">
        <f t="shared" si="99"/>
        <v>709102.20000000007</v>
      </c>
      <c r="Q335" s="40">
        <f t="shared" si="99"/>
        <v>634172.1</v>
      </c>
      <c r="R335" s="15">
        <f>SUM(R336:R339)</f>
        <v>633862.70000000007</v>
      </c>
      <c r="S335" s="35"/>
      <c r="T335" s="35">
        <f>Q335-R335</f>
        <v>309.39999999990687</v>
      </c>
      <c r="U335" s="35"/>
      <c r="V335" s="35"/>
      <c r="W335" s="2"/>
      <c r="X335" s="2"/>
    </row>
    <row r="336" spans="1:24" ht="26.85" customHeight="1" x14ac:dyDescent="0.25">
      <c r="A336" s="387"/>
      <c r="B336" s="369"/>
      <c r="C336" s="118"/>
      <c r="D336" s="17" t="s">
        <v>17</v>
      </c>
      <c r="E336" s="18">
        <f t="shared" si="94"/>
        <v>786024.20000000007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16">
        <v>0</v>
      </c>
      <c r="R336" s="93">
        <v>0</v>
      </c>
      <c r="S336" s="76"/>
      <c r="T336" s="36"/>
      <c r="U336" s="36"/>
      <c r="V336" s="36"/>
      <c r="W336" s="2"/>
      <c r="X336" s="2"/>
    </row>
    <row r="337" spans="1:24" ht="29.1" customHeight="1" x14ac:dyDescent="0.25">
      <c r="A337" s="67"/>
      <c r="B337" s="369"/>
      <c r="C337" s="118"/>
      <c r="D337" s="17" t="s">
        <v>18</v>
      </c>
      <c r="E337" s="18">
        <f t="shared" si="94"/>
        <v>1207378.3999999999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16">
        <f>287980.5+304410.6</f>
        <v>592391.1</v>
      </c>
      <c r="R337" s="93">
        <f>286326.7+304350.6</f>
        <v>590677.30000000005</v>
      </c>
      <c r="S337" s="76"/>
      <c r="T337" s="36"/>
      <c r="U337" s="36"/>
      <c r="V337" s="36"/>
      <c r="W337" s="2"/>
      <c r="X337" s="2"/>
    </row>
    <row r="338" spans="1:24" ht="30.75" customHeight="1" x14ac:dyDescent="0.25">
      <c r="A338" s="67"/>
      <c r="B338" s="109"/>
      <c r="C338" s="118"/>
      <c r="D338" s="17" t="s">
        <v>19</v>
      </c>
      <c r="E338" s="18">
        <f t="shared" si="94"/>
        <v>93151.6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95">
        <f>4633.6+38551.8</f>
        <v>43185.4</v>
      </c>
      <c r="S338" s="76"/>
      <c r="T338" s="36"/>
      <c r="U338" s="36"/>
      <c r="V338" s="36"/>
      <c r="W338" s="2"/>
      <c r="X338" s="2"/>
    </row>
    <row r="339" spans="1:24" ht="40.9" customHeight="1" x14ac:dyDescent="0.25">
      <c r="A339" s="67"/>
      <c r="B339" s="145"/>
      <c r="C339" s="118"/>
      <c r="D339" s="17" t="s">
        <v>21</v>
      </c>
      <c r="E339" s="18">
        <f t="shared" si="94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36"/>
      <c r="W339" s="2"/>
      <c r="X339" s="2"/>
    </row>
    <row r="340" spans="1:24" ht="45.4" customHeight="1" x14ac:dyDescent="0.25">
      <c r="A340" s="87" t="s">
        <v>217</v>
      </c>
      <c r="B340" s="342" t="s">
        <v>223</v>
      </c>
      <c r="C340" s="118"/>
      <c r="D340" s="39" t="s">
        <v>4</v>
      </c>
      <c r="E340" s="18">
        <f t="shared" si="94"/>
        <v>27543.499999999996</v>
      </c>
      <c r="F340" s="19"/>
      <c r="G340" s="19">
        <f t="shared" ref="G340:N340" si="100">SUM(G341:G344)</f>
        <v>0</v>
      </c>
      <c r="H340" s="19">
        <f t="shared" si="100"/>
        <v>0</v>
      </c>
      <c r="I340" s="19">
        <f t="shared" si="100"/>
        <v>0</v>
      </c>
      <c r="J340" s="19">
        <f t="shared" si="100"/>
        <v>0</v>
      </c>
      <c r="K340" s="19">
        <f t="shared" si="100"/>
        <v>0</v>
      </c>
      <c r="L340" s="19">
        <f t="shared" si="100"/>
        <v>0</v>
      </c>
      <c r="M340" s="19">
        <f t="shared" si="100"/>
        <v>0</v>
      </c>
      <c r="N340" s="19">
        <f t="shared" si="100"/>
        <v>0</v>
      </c>
      <c r="O340" s="19">
        <f>O341+O342+O343+O344</f>
        <v>2636.7</v>
      </c>
      <c r="P340" s="19">
        <f>P341+P342+P343+P344</f>
        <v>7761.9999999999991</v>
      </c>
      <c r="Q340" s="19">
        <f>Q341+Q342+Q343+Q344</f>
        <v>7761.9999999999991</v>
      </c>
      <c r="R340" s="19">
        <f>R341+R342+R343+R344</f>
        <v>9382.7999999999993</v>
      </c>
      <c r="S340" s="36"/>
      <c r="T340" s="82"/>
      <c r="U340" s="36"/>
      <c r="V340" s="36"/>
      <c r="W340" s="2"/>
      <c r="X340" s="2"/>
    </row>
    <row r="341" spans="1:24" ht="40.9" customHeight="1" x14ac:dyDescent="0.25">
      <c r="A341" s="67"/>
      <c r="B341" s="369"/>
      <c r="C341" s="118"/>
      <c r="D341" s="17" t="s">
        <v>17</v>
      </c>
      <c r="E341" s="18">
        <f t="shared" si="94"/>
        <v>24652.9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7529.0999999999995</v>
      </c>
      <c r="Q341" s="19">
        <f>Q346</f>
        <v>7529.0999999999995</v>
      </c>
      <c r="R341" s="19">
        <f>R346</f>
        <v>7037.1</v>
      </c>
      <c r="S341" s="36"/>
      <c r="T341" s="36"/>
      <c r="U341" s="36"/>
      <c r="V341" s="36"/>
      <c r="W341" s="2"/>
      <c r="X341" s="2"/>
    </row>
    <row r="342" spans="1:24" ht="40.9" customHeight="1" x14ac:dyDescent="0.25">
      <c r="A342" s="67"/>
      <c r="B342" s="369"/>
      <c r="C342" s="118"/>
      <c r="D342" s="17" t="s">
        <v>18</v>
      </c>
      <c r="E342" s="18">
        <f t="shared" si="94"/>
        <v>2890.6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01">O347</f>
        <v>79.099999999999994</v>
      </c>
      <c r="P342" s="19">
        <f t="shared" si="101"/>
        <v>232.9</v>
      </c>
      <c r="Q342" s="19">
        <f t="shared" si="101"/>
        <v>232.9</v>
      </c>
      <c r="R342" s="19">
        <f>R347</f>
        <v>2345.6999999999998</v>
      </c>
      <c r="S342" s="36"/>
      <c r="T342" s="36"/>
      <c r="U342" s="36"/>
      <c r="V342" s="36"/>
      <c r="W342" s="2"/>
      <c r="X342" s="2"/>
    </row>
    <row r="343" spans="1:24" ht="40.9" customHeight="1" x14ac:dyDescent="0.25">
      <c r="A343" s="67"/>
      <c r="B343" s="163"/>
      <c r="C343" s="119"/>
      <c r="D343" s="17" t="s">
        <v>19</v>
      </c>
      <c r="E343" s="18">
        <f t="shared" si="94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01"/>
        <v>0</v>
      </c>
      <c r="P343" s="19">
        <f t="shared" si="101"/>
        <v>0</v>
      </c>
      <c r="Q343" s="19">
        <f t="shared" si="101"/>
        <v>0</v>
      </c>
      <c r="R343" s="19">
        <f>R348</f>
        <v>0</v>
      </c>
      <c r="S343" s="36"/>
      <c r="T343" s="36"/>
      <c r="U343" s="36"/>
      <c r="V343" s="36"/>
      <c r="W343" s="2"/>
      <c r="X343" s="2"/>
    </row>
    <row r="344" spans="1:24" ht="40.9" customHeight="1" x14ac:dyDescent="0.25">
      <c r="A344" s="32"/>
      <c r="B344" s="164"/>
      <c r="C344" s="118"/>
      <c r="D344" s="23" t="s">
        <v>21</v>
      </c>
      <c r="E344" s="18">
        <f t="shared" si="94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01"/>
        <v>0</v>
      </c>
      <c r="P344" s="25">
        <f t="shared" si="101"/>
        <v>0</v>
      </c>
      <c r="Q344" s="25">
        <f t="shared" si="101"/>
        <v>0</v>
      </c>
      <c r="R344" s="25">
        <f>R349</f>
        <v>0</v>
      </c>
      <c r="S344" s="36"/>
      <c r="T344" s="36"/>
      <c r="U344" s="36"/>
      <c r="V344" s="36"/>
      <c r="W344" s="2"/>
      <c r="X344" s="2"/>
    </row>
    <row r="345" spans="1:24" ht="32.1" customHeight="1" x14ac:dyDescent="0.25">
      <c r="A345" s="326" t="s">
        <v>222</v>
      </c>
      <c r="B345" s="326" t="s">
        <v>218</v>
      </c>
      <c r="C345" s="246"/>
      <c r="D345" s="39" t="s">
        <v>4</v>
      </c>
      <c r="E345" s="18">
        <f t="shared" si="94"/>
        <v>27543.499999999996</v>
      </c>
      <c r="F345" s="19"/>
      <c r="G345" s="19">
        <f>SUM(G346:G349)</f>
        <v>0</v>
      </c>
      <c r="H345" s="19">
        <f t="shared" ref="H345:N345" si="102">SUM(H346:H349)</f>
        <v>0</v>
      </c>
      <c r="I345" s="19">
        <f t="shared" si="102"/>
        <v>0</v>
      </c>
      <c r="J345" s="19">
        <f t="shared" si="102"/>
        <v>0</v>
      </c>
      <c r="K345" s="19">
        <f t="shared" si="102"/>
        <v>0</v>
      </c>
      <c r="L345" s="19">
        <f t="shared" si="102"/>
        <v>0</v>
      </c>
      <c r="M345" s="19">
        <f t="shared" si="102"/>
        <v>0</v>
      </c>
      <c r="N345" s="19">
        <f t="shared" si="102"/>
        <v>0</v>
      </c>
      <c r="O345" s="19">
        <f>O346+O347+O348+O349</f>
        <v>2636.7</v>
      </c>
      <c r="P345" s="16">
        <f>P346+P347+P348+P349</f>
        <v>7761.9999999999991</v>
      </c>
      <c r="Q345" s="16">
        <f>Q346+Q347+Q348+Q349</f>
        <v>7761.9999999999991</v>
      </c>
      <c r="R345" s="16">
        <f>R346+R347+R348+R349</f>
        <v>9382.7999999999993</v>
      </c>
      <c r="S345" s="36"/>
      <c r="T345" s="36"/>
      <c r="U345" s="36"/>
      <c r="V345" s="36"/>
      <c r="W345" s="2"/>
      <c r="X345" s="2"/>
    </row>
    <row r="346" spans="1:24" ht="40.9" customHeight="1" x14ac:dyDescent="0.25">
      <c r="A346" s="285"/>
      <c r="B346" s="285"/>
      <c r="C346" s="246"/>
      <c r="D346" s="17" t="s">
        <v>17</v>
      </c>
      <c r="E346" s="18">
        <f t="shared" si="94"/>
        <v>24652.9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16">
        <f>7527.4+1.7</f>
        <v>7529.0999999999995</v>
      </c>
      <c r="Q346" s="16">
        <f>7527.4+1.7</f>
        <v>7529.0999999999995</v>
      </c>
      <c r="R346" s="16">
        <f>7037.1</f>
        <v>7037.1</v>
      </c>
      <c r="S346" s="36"/>
      <c r="T346" s="36"/>
      <c r="U346" s="36"/>
      <c r="V346" s="36"/>
      <c r="W346" s="2"/>
      <c r="X346" s="2"/>
    </row>
    <row r="347" spans="1:24" ht="34.9" customHeight="1" x14ac:dyDescent="0.25">
      <c r="A347" s="285"/>
      <c r="B347" s="285"/>
      <c r="C347" s="246"/>
      <c r="D347" s="17" t="s">
        <v>18</v>
      </c>
      <c r="E347" s="18">
        <f t="shared" si="94"/>
        <v>2890.6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16">
        <f>232.8+0.1</f>
        <v>232.9</v>
      </c>
      <c r="Q347" s="16">
        <f>232.8+0.1</f>
        <v>232.9</v>
      </c>
      <c r="R347" s="16">
        <f>2345.7</f>
        <v>2345.6999999999998</v>
      </c>
      <c r="S347" s="36"/>
      <c r="T347" s="36"/>
      <c r="U347" s="36"/>
      <c r="V347" s="36"/>
      <c r="W347" s="2"/>
      <c r="X347" s="2"/>
    </row>
    <row r="348" spans="1:24" ht="33.4" customHeight="1" x14ac:dyDescent="0.25">
      <c r="A348" s="285"/>
      <c r="B348" s="285"/>
      <c r="C348" s="247"/>
      <c r="D348" s="17" t="s">
        <v>19</v>
      </c>
      <c r="E348" s="18">
        <f t="shared" si="94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36"/>
      <c r="W348" s="2"/>
      <c r="X348" s="2"/>
    </row>
    <row r="349" spans="1:24" ht="30" customHeight="1" x14ac:dyDescent="0.25">
      <c r="A349" s="286"/>
      <c r="B349" s="286"/>
      <c r="C349" s="247"/>
      <c r="D349" s="23" t="s">
        <v>21</v>
      </c>
      <c r="E349" s="18">
        <f t="shared" si="94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36"/>
      <c r="W349" s="2"/>
      <c r="X349" s="2"/>
    </row>
    <row r="350" spans="1:24" ht="45.4" customHeight="1" x14ac:dyDescent="0.25">
      <c r="A350" s="235" t="s">
        <v>242</v>
      </c>
      <c r="B350" s="343" t="s">
        <v>243</v>
      </c>
      <c r="C350" s="184"/>
      <c r="D350" s="39" t="s">
        <v>4</v>
      </c>
      <c r="E350" s="18">
        <f t="shared" ref="E350:E359" si="103">SUM(F350:R350)</f>
        <v>751.5</v>
      </c>
      <c r="F350" s="19"/>
      <c r="G350" s="19">
        <f t="shared" ref="G350:N350" si="104">SUM(G351:G354)</f>
        <v>0</v>
      </c>
      <c r="H350" s="19">
        <f t="shared" si="104"/>
        <v>0</v>
      </c>
      <c r="I350" s="19">
        <f t="shared" si="104"/>
        <v>0</v>
      </c>
      <c r="J350" s="19">
        <f t="shared" si="104"/>
        <v>0</v>
      </c>
      <c r="K350" s="19">
        <f t="shared" si="104"/>
        <v>0</v>
      </c>
      <c r="L350" s="19">
        <f t="shared" si="104"/>
        <v>0</v>
      </c>
      <c r="M350" s="19">
        <f t="shared" si="104"/>
        <v>0</v>
      </c>
      <c r="N350" s="19">
        <f t="shared" si="104"/>
        <v>0</v>
      </c>
      <c r="O350" s="19">
        <f>O351+O352+O353+O354</f>
        <v>0</v>
      </c>
      <c r="P350" s="19">
        <f>P351+P352+P353+P354</f>
        <v>751.5</v>
      </c>
      <c r="Q350" s="19">
        <f>Q351+Q352+Q353+Q354</f>
        <v>0</v>
      </c>
      <c r="R350" s="19">
        <f>R351+R352+R353+R354</f>
        <v>0</v>
      </c>
      <c r="S350" s="36"/>
      <c r="T350" s="82"/>
      <c r="U350" s="36"/>
      <c r="V350" s="36"/>
      <c r="W350" s="2"/>
      <c r="X350" s="2"/>
    </row>
    <row r="351" spans="1:24" ht="40.9" customHeight="1" x14ac:dyDescent="0.25">
      <c r="A351" s="67"/>
      <c r="B351" s="369"/>
      <c r="C351" s="184"/>
      <c r="D351" s="17" t="s">
        <v>17</v>
      </c>
      <c r="E351" s="18">
        <f t="shared" si="103"/>
        <v>579.29999999999995</v>
      </c>
      <c r="F351" s="19"/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f>O356</f>
        <v>0</v>
      </c>
      <c r="P351" s="19">
        <f>P356</f>
        <v>579.29999999999995</v>
      </c>
      <c r="Q351" s="19">
        <f>Q356</f>
        <v>0</v>
      </c>
      <c r="R351" s="19">
        <f>R356</f>
        <v>0</v>
      </c>
      <c r="S351" s="36"/>
      <c r="T351" s="36"/>
      <c r="U351" s="36"/>
      <c r="V351" s="36"/>
      <c r="W351" s="2"/>
      <c r="X351" s="2"/>
    </row>
    <row r="352" spans="1:24" ht="40.9" customHeight="1" x14ac:dyDescent="0.25">
      <c r="A352" s="67"/>
      <c r="B352" s="369"/>
      <c r="C352" s="184"/>
      <c r="D352" s="17" t="s">
        <v>18</v>
      </c>
      <c r="E352" s="18">
        <f t="shared" si="103"/>
        <v>127.1</v>
      </c>
      <c r="F352" s="19"/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f t="shared" ref="O352:R354" si="105">O357</f>
        <v>0</v>
      </c>
      <c r="P352" s="19">
        <f t="shared" si="105"/>
        <v>127.1</v>
      </c>
      <c r="Q352" s="19">
        <f t="shared" si="105"/>
        <v>0</v>
      </c>
      <c r="R352" s="19">
        <f t="shared" si="105"/>
        <v>0</v>
      </c>
      <c r="S352" s="36"/>
      <c r="T352" s="36"/>
      <c r="U352" s="36"/>
      <c r="V352" s="36"/>
      <c r="W352" s="2"/>
      <c r="X352" s="2"/>
    </row>
    <row r="353" spans="1:55" ht="40.9" customHeight="1" x14ac:dyDescent="0.25">
      <c r="A353" s="67"/>
      <c r="B353" s="187"/>
      <c r="C353" s="185"/>
      <c r="D353" s="17" t="s">
        <v>19</v>
      </c>
      <c r="E353" s="18">
        <f t="shared" si="103"/>
        <v>45.1</v>
      </c>
      <c r="F353" s="19"/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f t="shared" ref="O353:Q354" si="106">O358</f>
        <v>0</v>
      </c>
      <c r="P353" s="19">
        <f t="shared" si="106"/>
        <v>45.1</v>
      </c>
      <c r="Q353" s="19">
        <f t="shared" si="106"/>
        <v>0</v>
      </c>
      <c r="R353" s="19">
        <f t="shared" si="105"/>
        <v>0</v>
      </c>
      <c r="S353" s="36"/>
      <c r="T353" s="36"/>
      <c r="U353" s="36"/>
      <c r="V353" s="36"/>
      <c r="W353" s="2"/>
      <c r="X353" s="2"/>
    </row>
    <row r="354" spans="1:55" ht="40.9" customHeight="1" x14ac:dyDescent="0.25">
      <c r="A354" s="32"/>
      <c r="B354" s="188"/>
      <c r="C354" s="184"/>
      <c r="D354" s="23" t="s">
        <v>21</v>
      </c>
      <c r="E354" s="18">
        <f t="shared" si="103"/>
        <v>0</v>
      </c>
      <c r="F354" s="25"/>
      <c r="G354" s="25">
        <v>0</v>
      </c>
      <c r="H354" s="25">
        <v>0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f t="shared" si="106"/>
        <v>0</v>
      </c>
      <c r="P354" s="25">
        <f t="shared" si="106"/>
        <v>0</v>
      </c>
      <c r="Q354" s="25">
        <f t="shared" si="106"/>
        <v>0</v>
      </c>
      <c r="R354" s="25">
        <f t="shared" si="105"/>
        <v>0</v>
      </c>
      <c r="S354" s="36"/>
      <c r="T354" s="36"/>
      <c r="U354" s="36"/>
      <c r="V354" s="36"/>
      <c r="W354" s="2"/>
      <c r="X354" s="2"/>
    </row>
    <row r="355" spans="1:55" ht="32.1" customHeight="1" x14ac:dyDescent="0.25">
      <c r="A355" s="285" t="s">
        <v>244</v>
      </c>
      <c r="B355" s="285" t="s">
        <v>245</v>
      </c>
      <c r="C355" s="184"/>
      <c r="D355" s="39" t="s">
        <v>4</v>
      </c>
      <c r="E355" s="18">
        <f t="shared" si="103"/>
        <v>751.5</v>
      </c>
      <c r="F355" s="19"/>
      <c r="G355" s="19">
        <f>SUM(G356:G359)</f>
        <v>0</v>
      </c>
      <c r="H355" s="19">
        <f t="shared" ref="H355:N355" si="107">SUM(H356:H359)</f>
        <v>0</v>
      </c>
      <c r="I355" s="19">
        <f t="shared" si="107"/>
        <v>0</v>
      </c>
      <c r="J355" s="19">
        <f t="shared" si="107"/>
        <v>0</v>
      </c>
      <c r="K355" s="19">
        <f t="shared" si="107"/>
        <v>0</v>
      </c>
      <c r="L355" s="19">
        <f t="shared" si="107"/>
        <v>0</v>
      </c>
      <c r="M355" s="19">
        <f t="shared" si="107"/>
        <v>0</v>
      </c>
      <c r="N355" s="19">
        <f t="shared" si="107"/>
        <v>0</v>
      </c>
      <c r="O355" s="19">
        <f>O356+O357+O358+O359</f>
        <v>0</v>
      </c>
      <c r="P355" s="19">
        <f>P356+P357+P358+P359</f>
        <v>751.5</v>
      </c>
      <c r="Q355" s="19">
        <f>Q356+Q357+Q358+Q359</f>
        <v>0</v>
      </c>
      <c r="R355" s="19">
        <f>R356+R357+R358+R359</f>
        <v>0</v>
      </c>
      <c r="S355" s="36"/>
      <c r="T355" s="36"/>
      <c r="U355" s="36"/>
      <c r="V355" s="36"/>
      <c r="W355" s="2"/>
      <c r="X355" s="2"/>
    </row>
    <row r="356" spans="1:55" ht="40.9" customHeight="1" x14ac:dyDescent="0.25">
      <c r="A356" s="285"/>
      <c r="B356" s="285"/>
      <c r="C356" s="184"/>
      <c r="D356" s="17" t="s">
        <v>17</v>
      </c>
      <c r="E356" s="18">
        <f t="shared" si="103"/>
        <v>579.29999999999995</v>
      </c>
      <c r="F356" s="19"/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579.29999999999995</v>
      </c>
      <c r="Q356" s="19">
        <v>0</v>
      </c>
      <c r="R356" s="19">
        <v>0</v>
      </c>
      <c r="S356" s="36"/>
      <c r="T356" s="36"/>
      <c r="U356" s="36"/>
      <c r="V356" s="36"/>
      <c r="W356" s="2"/>
      <c r="X356" s="2"/>
    </row>
    <row r="357" spans="1:55" ht="34.9" customHeight="1" x14ac:dyDescent="0.25">
      <c r="A357" s="285"/>
      <c r="B357" s="285"/>
      <c r="C357" s="184"/>
      <c r="D357" s="17" t="s">
        <v>18</v>
      </c>
      <c r="E357" s="18">
        <f t="shared" si="103"/>
        <v>127.1</v>
      </c>
      <c r="F357" s="19"/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127.1</v>
      </c>
      <c r="Q357" s="19">
        <v>0</v>
      </c>
      <c r="R357" s="19">
        <v>0</v>
      </c>
      <c r="S357" s="36"/>
      <c r="T357" s="36"/>
      <c r="U357" s="36"/>
      <c r="V357" s="36"/>
      <c r="W357" s="2"/>
      <c r="X357" s="2"/>
    </row>
    <row r="358" spans="1:55" ht="33.4" customHeight="1" x14ac:dyDescent="0.25">
      <c r="A358" s="285"/>
      <c r="B358" s="285"/>
      <c r="C358" s="185"/>
      <c r="D358" s="17" t="s">
        <v>19</v>
      </c>
      <c r="E358" s="18">
        <f t="shared" si="103"/>
        <v>45.1</v>
      </c>
      <c r="F358" s="19"/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45.1</v>
      </c>
      <c r="Q358" s="19">
        <v>0</v>
      </c>
      <c r="R358" s="19">
        <v>0</v>
      </c>
      <c r="S358" s="36"/>
      <c r="T358" s="36"/>
      <c r="U358" s="36"/>
      <c r="V358" s="36"/>
      <c r="W358" s="2"/>
      <c r="X358" s="2"/>
    </row>
    <row r="359" spans="1:55" ht="30" customHeight="1" x14ac:dyDescent="0.25">
      <c r="A359" s="286"/>
      <c r="B359" s="286"/>
      <c r="C359" s="184"/>
      <c r="D359" s="23" t="s">
        <v>21</v>
      </c>
      <c r="E359" s="18">
        <f t="shared" si="103"/>
        <v>0</v>
      </c>
      <c r="F359" s="25"/>
      <c r="G359" s="25">
        <v>0</v>
      </c>
      <c r="H359" s="25">
        <v>0</v>
      </c>
      <c r="I359" s="25">
        <v>0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25">
        <v>0</v>
      </c>
      <c r="R359" s="25">
        <v>0</v>
      </c>
      <c r="S359" s="36"/>
      <c r="T359" s="36"/>
      <c r="U359" s="36"/>
      <c r="V359" s="36"/>
      <c r="W359" s="2"/>
      <c r="X359" s="2"/>
    </row>
    <row r="360" spans="1:55" ht="23.85" customHeight="1" x14ac:dyDescent="0.25">
      <c r="A360" s="81" t="s">
        <v>76</v>
      </c>
      <c r="B360" s="343" t="s">
        <v>77</v>
      </c>
      <c r="C360" s="392" t="s">
        <v>16</v>
      </c>
      <c r="D360" s="14" t="s">
        <v>4</v>
      </c>
      <c r="E360" s="15">
        <f>SUM(F360:R360)</f>
        <v>984240.5</v>
      </c>
      <c r="F360" s="16">
        <f t="shared" ref="F360:L360" si="108">SUM(F361:F363)</f>
        <v>0</v>
      </c>
      <c r="G360" s="16">
        <f t="shared" si="108"/>
        <v>70546.600000000006</v>
      </c>
      <c r="H360" s="16">
        <f t="shared" si="108"/>
        <v>72337.200000000012</v>
      </c>
      <c r="I360" s="16">
        <f t="shared" si="108"/>
        <v>75088.200000000012</v>
      </c>
      <c r="J360" s="16">
        <f t="shared" si="108"/>
        <v>77224.799999999988</v>
      </c>
      <c r="K360" s="16">
        <f t="shared" si="108"/>
        <v>78870.299999999988</v>
      </c>
      <c r="L360" s="16">
        <f t="shared" si="108"/>
        <v>68821.3</v>
      </c>
      <c r="M360" s="16">
        <f t="shared" ref="M360:R360" si="109">SUM(M361:M363)</f>
        <v>88265.1</v>
      </c>
      <c r="N360" s="16">
        <f t="shared" si="109"/>
        <v>84551.6</v>
      </c>
      <c r="O360" s="16">
        <f t="shared" si="109"/>
        <v>88614.499999999985</v>
      </c>
      <c r="P360" s="16">
        <f t="shared" si="109"/>
        <v>92334.6</v>
      </c>
      <c r="Q360" s="16">
        <f t="shared" si="109"/>
        <v>94020.900000000009</v>
      </c>
      <c r="R360" s="16">
        <f t="shared" si="109"/>
        <v>93565.4</v>
      </c>
      <c r="S360" s="82"/>
      <c r="T360" s="82"/>
      <c r="U360" s="82"/>
      <c r="V360" s="82"/>
      <c r="W360" s="2">
        <v>100635.4</v>
      </c>
      <c r="X360" s="2"/>
      <c r="BC360" s="2"/>
    </row>
    <row r="361" spans="1:55" ht="30.4" customHeight="1" x14ac:dyDescent="0.25">
      <c r="A361" s="52"/>
      <c r="B361" s="327"/>
      <c r="C361" s="303"/>
      <c r="D361" s="17" t="s">
        <v>17</v>
      </c>
      <c r="E361" s="18">
        <f t="shared" si="94"/>
        <v>0</v>
      </c>
      <c r="F361" s="19">
        <f t="shared" ref="F361:Q362" si="110">F371+F376+F381+F386+F396+F401+F416+F421+F426</f>
        <v>0</v>
      </c>
      <c r="G361" s="19">
        <f t="shared" si="110"/>
        <v>0</v>
      </c>
      <c r="H361" s="19">
        <f t="shared" si="110"/>
        <v>0</v>
      </c>
      <c r="I361" s="19">
        <f t="shared" si="110"/>
        <v>0</v>
      </c>
      <c r="J361" s="19">
        <f t="shared" si="110"/>
        <v>0</v>
      </c>
      <c r="K361" s="19">
        <f t="shared" si="110"/>
        <v>0</v>
      </c>
      <c r="L361" s="19">
        <f t="shared" si="110"/>
        <v>0</v>
      </c>
      <c r="M361" s="19">
        <f t="shared" si="110"/>
        <v>0</v>
      </c>
      <c r="N361" s="19">
        <f t="shared" si="110"/>
        <v>0</v>
      </c>
      <c r="O361" s="19">
        <f t="shared" si="110"/>
        <v>0</v>
      </c>
      <c r="P361" s="19">
        <f t="shared" si="110"/>
        <v>0</v>
      </c>
      <c r="Q361" s="19">
        <f t="shared" si="110"/>
        <v>0</v>
      </c>
      <c r="R361" s="19">
        <f>R371+R376+R381+R386+R396+R401+R416+R421+R426</f>
        <v>0</v>
      </c>
      <c r="S361" s="36"/>
      <c r="T361" s="36"/>
      <c r="U361" s="36"/>
      <c r="V361" s="36"/>
      <c r="W361" s="2"/>
      <c r="X361" s="2"/>
    </row>
    <row r="362" spans="1:55" ht="30.75" customHeight="1" x14ac:dyDescent="0.25">
      <c r="A362" s="52"/>
      <c r="B362" s="327"/>
      <c r="C362" s="303"/>
      <c r="D362" s="17" t="s">
        <v>18</v>
      </c>
      <c r="E362" s="18">
        <f t="shared" si="94"/>
        <v>922298.20000000019</v>
      </c>
      <c r="F362" s="19">
        <f t="shared" si="110"/>
        <v>0</v>
      </c>
      <c r="G362" s="19">
        <f t="shared" si="110"/>
        <v>64983.5</v>
      </c>
      <c r="H362" s="19">
        <f t="shared" si="110"/>
        <v>65431.30000000001</v>
      </c>
      <c r="I362" s="19">
        <f t="shared" si="110"/>
        <v>67013.400000000009</v>
      </c>
      <c r="J362" s="19">
        <f t="shared" si="110"/>
        <v>68486.799999999988</v>
      </c>
      <c r="K362" s="19">
        <f t="shared" si="110"/>
        <v>69838.399999999994</v>
      </c>
      <c r="L362" s="19">
        <f t="shared" si="110"/>
        <v>67239.8</v>
      </c>
      <c r="M362" s="19">
        <f>M372+M377+M382+M387+M397+M402+M417+M422+M427</f>
        <v>80099</v>
      </c>
      <c r="N362" s="19">
        <f t="shared" si="110"/>
        <v>82324.100000000006</v>
      </c>
      <c r="O362" s="19">
        <f>O372+O377+O382+O387+O397+O402+O417+O422+O427</f>
        <v>84913.799999999988</v>
      </c>
      <c r="P362" s="19">
        <f t="shared" si="110"/>
        <v>88307.3</v>
      </c>
      <c r="Q362" s="19">
        <f t="shared" si="110"/>
        <v>91800.3</v>
      </c>
      <c r="R362" s="19">
        <f>R372+R377+R382+R387+R397+R402+R417+R422+R427</f>
        <v>91860.5</v>
      </c>
      <c r="S362" s="36"/>
      <c r="T362" s="36"/>
      <c r="U362" s="36"/>
      <c r="V362" s="36"/>
      <c r="W362" s="2"/>
      <c r="X362" s="2"/>
    </row>
    <row r="363" spans="1:55" ht="25.5" customHeight="1" x14ac:dyDescent="0.25">
      <c r="A363" s="52"/>
      <c r="B363" s="327"/>
      <c r="C363" s="303"/>
      <c r="D363" s="17" t="s">
        <v>19</v>
      </c>
      <c r="E363" s="18">
        <f>SUM(F363:R363)</f>
        <v>61942.299999999996</v>
      </c>
      <c r="F363" s="19">
        <f>F373+F378+F383+F388+F398+F403+F418+F423+F428</f>
        <v>0</v>
      </c>
      <c r="G363" s="19">
        <f t="shared" ref="G363:L363" si="111">G373+G378+G383+G388+G398+G403+G418+G423+G428+G408</f>
        <v>5563.1</v>
      </c>
      <c r="H363" s="19">
        <f t="shared" si="111"/>
        <v>6905.9</v>
      </c>
      <c r="I363" s="19">
        <f t="shared" si="111"/>
        <v>8074.8</v>
      </c>
      <c r="J363" s="19">
        <f t="shared" si="111"/>
        <v>8738</v>
      </c>
      <c r="K363" s="19">
        <f t="shared" si="111"/>
        <v>9031.9</v>
      </c>
      <c r="L363" s="19">
        <f t="shared" si="111"/>
        <v>1581.5</v>
      </c>
      <c r="M363" s="19">
        <f t="shared" ref="M363:R363" si="112">M373+M378+M383+M388+M398+M403+M418+M423+M428+M408</f>
        <v>8166.0999999999995</v>
      </c>
      <c r="N363" s="19">
        <f t="shared" si="112"/>
        <v>2227.5</v>
      </c>
      <c r="O363" s="19">
        <f t="shared" si="112"/>
        <v>3700.7</v>
      </c>
      <c r="P363" s="19">
        <f t="shared" si="112"/>
        <v>4027.2999999999997</v>
      </c>
      <c r="Q363" s="19">
        <f t="shared" si="112"/>
        <v>2220.6</v>
      </c>
      <c r="R363" s="19">
        <f t="shared" si="112"/>
        <v>1704.9</v>
      </c>
      <c r="S363" s="36"/>
      <c r="T363" s="36"/>
      <c r="U363" s="36"/>
      <c r="V363" s="36"/>
      <c r="W363" s="2"/>
      <c r="X363" s="2"/>
    </row>
    <row r="364" spans="1:55" ht="42" customHeight="1" x14ac:dyDescent="0.25">
      <c r="A364" s="52"/>
      <c r="B364" s="327"/>
      <c r="C364" s="304"/>
      <c r="D364" s="17" t="s">
        <v>21</v>
      </c>
      <c r="E364" s="18">
        <f t="shared" si="94"/>
        <v>0</v>
      </c>
      <c r="F364" s="19"/>
      <c r="G364" s="19">
        <f t="shared" ref="G364:L364" si="113">G374+G379+G384+G389+G399+G404+G424+G429</f>
        <v>0</v>
      </c>
      <c r="H364" s="19">
        <f t="shared" si="113"/>
        <v>0</v>
      </c>
      <c r="I364" s="19">
        <f t="shared" si="113"/>
        <v>0</v>
      </c>
      <c r="J364" s="19">
        <f t="shared" si="113"/>
        <v>0</v>
      </c>
      <c r="K364" s="19">
        <f t="shared" si="113"/>
        <v>0</v>
      </c>
      <c r="L364" s="19">
        <f t="shared" si="113"/>
        <v>0</v>
      </c>
      <c r="M364" s="19">
        <f t="shared" ref="M364:R364" si="114">M374+M379+M384+M389+M399+M404+M424+M429</f>
        <v>0</v>
      </c>
      <c r="N364" s="19">
        <f t="shared" si="114"/>
        <v>0</v>
      </c>
      <c r="O364" s="19">
        <f t="shared" si="114"/>
        <v>0</v>
      </c>
      <c r="P364" s="19">
        <f t="shared" si="114"/>
        <v>0</v>
      </c>
      <c r="Q364" s="19">
        <f t="shared" si="114"/>
        <v>0</v>
      </c>
      <c r="R364" s="19">
        <f t="shared" si="114"/>
        <v>0</v>
      </c>
      <c r="S364" s="36"/>
      <c r="T364" s="36"/>
      <c r="U364" s="36"/>
      <c r="V364" s="36"/>
      <c r="W364" s="2"/>
      <c r="X364" s="2"/>
    </row>
    <row r="365" spans="1:55" ht="28.5" customHeight="1" x14ac:dyDescent="0.25">
      <c r="A365" s="334" t="s">
        <v>127</v>
      </c>
      <c r="B365" s="342" t="s">
        <v>78</v>
      </c>
      <c r="C365" s="30"/>
      <c r="D365" s="14" t="s">
        <v>4</v>
      </c>
      <c r="E365" s="15">
        <f>SUM(F365:R365)</f>
        <v>820292.79999999993</v>
      </c>
      <c r="F365" s="16"/>
      <c r="G365" s="16">
        <f t="shared" ref="G365:L365" si="115">G370+G380+G385+G375</f>
        <v>55536.3</v>
      </c>
      <c r="H365" s="16">
        <f t="shared" si="115"/>
        <v>58615.000000000007</v>
      </c>
      <c r="I365" s="16">
        <f t="shared" si="115"/>
        <v>59909.8</v>
      </c>
      <c r="J365" s="16">
        <f t="shared" si="115"/>
        <v>60829.799999999996</v>
      </c>
      <c r="K365" s="16">
        <f t="shared" si="115"/>
        <v>62456.6</v>
      </c>
      <c r="L365" s="16">
        <f t="shared" si="115"/>
        <v>67239.8</v>
      </c>
      <c r="M365" s="16">
        <f t="shared" ref="M365:R365" si="116">M370+M380+M385+M375</f>
        <v>73921.2</v>
      </c>
      <c r="N365" s="16">
        <f t="shared" si="116"/>
        <v>74987.100000000006</v>
      </c>
      <c r="O365" s="16">
        <f t="shared" si="116"/>
        <v>73504.799999999988</v>
      </c>
      <c r="P365" s="16">
        <f t="shared" si="116"/>
        <v>76209.3</v>
      </c>
      <c r="Q365" s="16">
        <f t="shared" si="116"/>
        <v>78510.100000000006</v>
      </c>
      <c r="R365" s="16">
        <f t="shared" si="116"/>
        <v>78573</v>
      </c>
      <c r="S365" s="82"/>
      <c r="T365" s="82"/>
      <c r="U365" s="82"/>
      <c r="V365" s="82"/>
      <c r="W365" s="2"/>
      <c r="X365" s="2"/>
      <c r="BC365" s="2"/>
    </row>
    <row r="366" spans="1:55" ht="22.9" customHeight="1" x14ac:dyDescent="0.25">
      <c r="A366" s="382"/>
      <c r="B366" s="337"/>
      <c r="C366" s="131"/>
      <c r="D366" s="17" t="s">
        <v>17</v>
      </c>
      <c r="E366" s="18">
        <f>SUM(F366:R366)</f>
        <v>0</v>
      </c>
      <c r="F366" s="16"/>
      <c r="G366" s="19">
        <f t="shared" ref="G366:Q369" si="117">G371+G376+G381+G386</f>
        <v>0</v>
      </c>
      <c r="H366" s="19">
        <f t="shared" si="117"/>
        <v>0</v>
      </c>
      <c r="I366" s="19">
        <f t="shared" si="117"/>
        <v>0</v>
      </c>
      <c r="J366" s="19">
        <f t="shared" si="117"/>
        <v>0</v>
      </c>
      <c r="K366" s="19">
        <f t="shared" si="117"/>
        <v>0</v>
      </c>
      <c r="L366" s="19">
        <f t="shared" si="117"/>
        <v>0</v>
      </c>
      <c r="M366" s="19">
        <f t="shared" si="117"/>
        <v>0</v>
      </c>
      <c r="N366" s="19">
        <f t="shared" si="117"/>
        <v>0</v>
      </c>
      <c r="O366" s="19">
        <f t="shared" si="117"/>
        <v>0</v>
      </c>
      <c r="P366" s="19">
        <f t="shared" si="117"/>
        <v>0</v>
      </c>
      <c r="Q366" s="19">
        <f t="shared" si="117"/>
        <v>0</v>
      </c>
      <c r="R366" s="19">
        <f>R371+R376+R381+R386</f>
        <v>0</v>
      </c>
      <c r="S366" s="36"/>
      <c r="T366" s="36"/>
      <c r="U366" s="36"/>
      <c r="V366" s="36"/>
      <c r="W366" s="2"/>
      <c r="X366" s="2"/>
    </row>
    <row r="367" spans="1:55" ht="26.25" customHeight="1" x14ac:dyDescent="0.25">
      <c r="A367" s="382"/>
      <c r="B367" s="337"/>
      <c r="C367" s="48"/>
      <c r="D367" s="17" t="s">
        <v>18</v>
      </c>
      <c r="E367" s="18">
        <f>SUM(F367:R367)</f>
        <v>820292.79999999993</v>
      </c>
      <c r="F367" s="16"/>
      <c r="G367" s="19">
        <f t="shared" si="117"/>
        <v>55536.3</v>
      </c>
      <c r="H367" s="19">
        <f t="shared" si="117"/>
        <v>58615.000000000007</v>
      </c>
      <c r="I367" s="19">
        <f t="shared" si="117"/>
        <v>59909.8</v>
      </c>
      <c r="J367" s="19">
        <f t="shared" si="117"/>
        <v>60829.799999999996</v>
      </c>
      <c r="K367" s="19">
        <f t="shared" si="117"/>
        <v>62456.6</v>
      </c>
      <c r="L367" s="19">
        <f t="shared" si="117"/>
        <v>67239.8</v>
      </c>
      <c r="M367" s="19">
        <f t="shared" si="117"/>
        <v>73921.2</v>
      </c>
      <c r="N367" s="19">
        <f t="shared" si="117"/>
        <v>74987.100000000006</v>
      </c>
      <c r="O367" s="19">
        <f t="shared" si="117"/>
        <v>73504.799999999988</v>
      </c>
      <c r="P367" s="19">
        <f t="shared" si="117"/>
        <v>76209.3</v>
      </c>
      <c r="Q367" s="19">
        <f t="shared" si="117"/>
        <v>78510.100000000006</v>
      </c>
      <c r="R367" s="19">
        <f>R372+R377+R382+R387</f>
        <v>78573</v>
      </c>
      <c r="S367" s="36"/>
      <c r="T367" s="36"/>
      <c r="U367" s="36"/>
      <c r="V367" s="36"/>
      <c r="W367" s="2"/>
      <c r="X367" s="2"/>
    </row>
    <row r="368" spans="1:55" ht="25.5" customHeight="1" x14ac:dyDescent="0.25">
      <c r="A368" s="115"/>
      <c r="B368" s="106"/>
      <c r="C368" s="130"/>
      <c r="D368" s="23" t="s">
        <v>19</v>
      </c>
      <c r="E368" s="18">
        <f t="shared" ref="E368:E404" si="118">SUM(F368:R368)</f>
        <v>0</v>
      </c>
      <c r="F368" s="41"/>
      <c r="G368" s="25">
        <f t="shared" si="117"/>
        <v>0</v>
      </c>
      <c r="H368" s="25">
        <f t="shared" si="117"/>
        <v>0</v>
      </c>
      <c r="I368" s="25">
        <f t="shared" si="117"/>
        <v>0</v>
      </c>
      <c r="J368" s="25">
        <f t="shared" si="117"/>
        <v>0</v>
      </c>
      <c r="K368" s="25">
        <f t="shared" si="117"/>
        <v>0</v>
      </c>
      <c r="L368" s="25">
        <f t="shared" si="117"/>
        <v>0</v>
      </c>
      <c r="M368" s="25">
        <f t="shared" si="117"/>
        <v>0</v>
      </c>
      <c r="N368" s="25">
        <f t="shared" si="117"/>
        <v>0</v>
      </c>
      <c r="O368" s="25">
        <f t="shared" si="117"/>
        <v>0</v>
      </c>
      <c r="P368" s="25">
        <f t="shared" si="117"/>
        <v>0</v>
      </c>
      <c r="Q368" s="25">
        <f t="shared" si="117"/>
        <v>0</v>
      </c>
      <c r="R368" s="25">
        <f>R373+R378+R383+R388</f>
        <v>0</v>
      </c>
      <c r="S368" s="36"/>
      <c r="T368" s="36"/>
      <c r="U368" s="36"/>
      <c r="V368" s="36"/>
      <c r="W368" s="2"/>
      <c r="X368" s="2"/>
    </row>
    <row r="369" spans="1:24" ht="35.65" customHeight="1" x14ac:dyDescent="0.25">
      <c r="A369" s="129"/>
      <c r="B369" s="129"/>
      <c r="C369" s="131"/>
      <c r="D369" s="17" t="s">
        <v>21</v>
      </c>
      <c r="E369" s="18">
        <f t="shared" si="118"/>
        <v>0</v>
      </c>
      <c r="F369" s="16"/>
      <c r="G369" s="19">
        <f t="shared" si="117"/>
        <v>0</v>
      </c>
      <c r="H369" s="19">
        <f t="shared" si="117"/>
        <v>0</v>
      </c>
      <c r="I369" s="19">
        <f t="shared" si="117"/>
        <v>0</v>
      </c>
      <c r="J369" s="19">
        <f t="shared" si="117"/>
        <v>0</v>
      </c>
      <c r="K369" s="19">
        <f t="shared" si="117"/>
        <v>0</v>
      </c>
      <c r="L369" s="19">
        <f t="shared" si="117"/>
        <v>0</v>
      </c>
      <c r="M369" s="19">
        <f t="shared" si="117"/>
        <v>0</v>
      </c>
      <c r="N369" s="19">
        <f t="shared" si="117"/>
        <v>0</v>
      </c>
      <c r="O369" s="19">
        <f t="shared" si="117"/>
        <v>0</v>
      </c>
      <c r="P369" s="19">
        <f t="shared" si="117"/>
        <v>0</v>
      </c>
      <c r="Q369" s="19">
        <f t="shared" si="117"/>
        <v>0</v>
      </c>
      <c r="R369" s="19">
        <f>R374+R379+R384+R389</f>
        <v>0</v>
      </c>
      <c r="S369" s="36"/>
      <c r="T369" s="36"/>
      <c r="U369" s="36"/>
      <c r="V369" s="36"/>
      <c r="W369" s="2"/>
      <c r="X369" s="2"/>
    </row>
    <row r="370" spans="1:24" ht="37.5" customHeight="1" x14ac:dyDescent="0.25">
      <c r="A370" s="114" t="s">
        <v>79</v>
      </c>
      <c r="B370" s="385" t="s">
        <v>179</v>
      </c>
      <c r="C370" s="302" t="s">
        <v>80</v>
      </c>
      <c r="D370" s="17" t="s">
        <v>29</v>
      </c>
      <c r="E370" s="18">
        <f t="shared" si="118"/>
        <v>156572.29999999999</v>
      </c>
      <c r="F370" s="19">
        <f>SUM(F371:F373)</f>
        <v>0</v>
      </c>
      <c r="G370" s="19">
        <f t="shared" ref="G370:L370" si="119">SUM(G371:G373)</f>
        <v>6386.8</v>
      </c>
      <c r="H370" s="19">
        <f t="shared" si="119"/>
        <v>6386.8</v>
      </c>
      <c r="I370" s="19">
        <f t="shared" si="119"/>
        <v>6386.8</v>
      </c>
      <c r="J370" s="19">
        <f t="shared" si="119"/>
        <v>6621</v>
      </c>
      <c r="K370" s="19">
        <f t="shared" si="119"/>
        <v>7885.9</v>
      </c>
      <c r="L370" s="19">
        <f t="shared" si="119"/>
        <v>8895.6</v>
      </c>
      <c r="M370" s="19">
        <f t="shared" ref="M370:R370" si="120">SUM(M371:M373)</f>
        <v>15364.5</v>
      </c>
      <c r="N370" s="19">
        <f t="shared" si="120"/>
        <v>18975.7</v>
      </c>
      <c r="O370" s="19">
        <f t="shared" si="120"/>
        <v>19917.3</v>
      </c>
      <c r="P370" s="19">
        <f t="shared" si="120"/>
        <v>19917.3</v>
      </c>
      <c r="Q370" s="19">
        <f t="shared" si="120"/>
        <v>19917.3</v>
      </c>
      <c r="R370" s="19">
        <f t="shared" si="120"/>
        <v>19917.3</v>
      </c>
      <c r="S370" s="36"/>
      <c r="T370" s="36"/>
      <c r="U370" s="36"/>
      <c r="V370" s="36"/>
      <c r="W370" s="2"/>
      <c r="X370" s="2"/>
    </row>
    <row r="371" spans="1:24" ht="32.1" customHeight="1" x14ac:dyDescent="0.25">
      <c r="A371" s="115"/>
      <c r="B371" s="301"/>
      <c r="C371" s="340"/>
      <c r="D371" s="17" t="s">
        <v>17</v>
      </c>
      <c r="E371" s="18">
        <f t="shared" si="118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36"/>
      <c r="W371" s="2"/>
      <c r="X371" s="2"/>
    </row>
    <row r="372" spans="1:24" ht="30.4" customHeight="1" x14ac:dyDescent="0.25">
      <c r="A372" s="115"/>
      <c r="B372" s="301"/>
      <c r="C372" s="340"/>
      <c r="D372" s="17" t="s">
        <v>18</v>
      </c>
      <c r="E372" s="18">
        <f t="shared" si="118"/>
        <v>156572.29999999999</v>
      </c>
      <c r="F372" s="19"/>
      <c r="G372" s="19">
        <f>5857.1+529.7</f>
        <v>6386.8</v>
      </c>
      <c r="H372" s="19">
        <v>6386.8</v>
      </c>
      <c r="I372" s="19">
        <v>6386.8</v>
      </c>
      <c r="J372" s="19">
        <v>6621</v>
      </c>
      <c r="K372" s="19">
        <v>7885.9</v>
      </c>
      <c r="L372" s="19">
        <f>8168.6+727</f>
        <v>8895.6</v>
      </c>
      <c r="M372" s="19">
        <f>9125.6+6238.9</f>
        <v>15364.5</v>
      </c>
      <c r="N372" s="19">
        <f>9125.6+6238.9+3611.2</f>
        <v>18975.7</v>
      </c>
      <c r="O372" s="19">
        <f>9125.6+6238.9+3611.2+941.6</f>
        <v>19917.3</v>
      </c>
      <c r="P372" s="19">
        <f>15364.5+3611.2+941.6</f>
        <v>19917.3</v>
      </c>
      <c r="Q372" s="19">
        <f>15364.5+3611.2+941.6</f>
        <v>19917.3</v>
      </c>
      <c r="R372" s="19">
        <f>15364.5+3611.2+941.6</f>
        <v>19917.3</v>
      </c>
      <c r="S372" s="36"/>
      <c r="T372" s="36"/>
      <c r="U372" s="36"/>
      <c r="V372" s="36"/>
      <c r="W372" s="2"/>
      <c r="X372" s="2"/>
    </row>
    <row r="373" spans="1:24" ht="26.25" customHeight="1" x14ac:dyDescent="0.25">
      <c r="A373" s="115"/>
      <c r="B373" s="301"/>
      <c r="C373" s="340"/>
      <c r="D373" s="17" t="s">
        <v>19</v>
      </c>
      <c r="E373" s="18">
        <f t="shared" si="118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36"/>
      <c r="W373" s="2"/>
      <c r="X373" s="2"/>
    </row>
    <row r="374" spans="1:24" ht="30.75" customHeight="1" x14ac:dyDescent="0.25">
      <c r="A374" s="129"/>
      <c r="B374" s="315"/>
      <c r="C374" s="341"/>
      <c r="D374" s="17" t="s">
        <v>21</v>
      </c>
      <c r="E374" s="18">
        <f t="shared" si="118"/>
        <v>0</v>
      </c>
      <c r="F374" s="18">
        <f>SUM(G374:L374)</f>
        <v>0</v>
      </c>
      <c r="G374" s="18">
        <f>SUM(H374:L374)</f>
        <v>0</v>
      </c>
      <c r="H374" s="18">
        <f>SUM(I374:L374)</f>
        <v>0</v>
      </c>
      <c r="I374" s="18">
        <f>SUM(J374:L374)</f>
        <v>0</v>
      </c>
      <c r="J374" s="18">
        <f>SUM(K374:L374)</f>
        <v>0</v>
      </c>
      <c r="K374" s="18">
        <f>SUM(L374:L374)</f>
        <v>0</v>
      </c>
      <c r="L374" s="18">
        <f t="shared" ref="L374:R374" si="121">SUM(W374:W374)</f>
        <v>0</v>
      </c>
      <c r="M374" s="18">
        <f t="shared" si="121"/>
        <v>0</v>
      </c>
      <c r="N374" s="18">
        <f t="shared" si="121"/>
        <v>0</v>
      </c>
      <c r="O374" s="18">
        <f t="shared" si="121"/>
        <v>0</v>
      </c>
      <c r="P374" s="18">
        <f t="shared" si="121"/>
        <v>0</v>
      </c>
      <c r="Q374" s="18">
        <f t="shared" si="121"/>
        <v>0</v>
      </c>
      <c r="R374" s="18">
        <f t="shared" si="121"/>
        <v>0</v>
      </c>
      <c r="S374" s="35"/>
      <c r="T374" s="35"/>
      <c r="U374" s="35"/>
      <c r="V374" s="35"/>
      <c r="W374" s="2"/>
      <c r="X374" s="2"/>
    </row>
    <row r="375" spans="1:24" ht="30.75" customHeight="1" x14ac:dyDescent="0.25">
      <c r="A375" s="245" t="s">
        <v>81</v>
      </c>
      <c r="B375" s="391" t="s">
        <v>172</v>
      </c>
      <c r="C375" s="302" t="s">
        <v>80</v>
      </c>
      <c r="D375" s="17" t="s">
        <v>29</v>
      </c>
      <c r="E375" s="18">
        <f t="shared" si="118"/>
        <v>55519.799999999996</v>
      </c>
      <c r="F375" s="19">
        <f>SUM(F376:F378)</f>
        <v>0</v>
      </c>
      <c r="G375" s="19">
        <f t="shared" ref="G375:L375" si="122">SUM(G376:G378)</f>
        <v>4088.6</v>
      </c>
      <c r="H375" s="19">
        <f t="shared" si="122"/>
        <v>4567.3999999999996</v>
      </c>
      <c r="I375" s="19">
        <f t="shared" si="122"/>
        <v>4925</v>
      </c>
      <c r="J375" s="19">
        <f t="shared" si="122"/>
        <v>5143.3999999999996</v>
      </c>
      <c r="K375" s="19">
        <f t="shared" si="122"/>
        <v>2642.5</v>
      </c>
      <c r="L375" s="19">
        <f t="shared" si="122"/>
        <v>4877</v>
      </c>
      <c r="M375" s="19">
        <f t="shared" ref="M375:R375" si="123">SUM(M376:M378)</f>
        <v>6698.2</v>
      </c>
      <c r="N375" s="19">
        <f t="shared" si="123"/>
        <v>5378.1</v>
      </c>
      <c r="O375" s="19">
        <f t="shared" si="123"/>
        <v>4429.3999999999996</v>
      </c>
      <c r="P375" s="19">
        <f t="shared" si="123"/>
        <v>4146.1000000000004</v>
      </c>
      <c r="Q375" s="19">
        <f t="shared" si="123"/>
        <v>4280.6000000000004</v>
      </c>
      <c r="R375" s="19">
        <f t="shared" si="123"/>
        <v>4343.5</v>
      </c>
      <c r="S375" s="36"/>
      <c r="T375" s="36"/>
      <c r="U375" s="36"/>
      <c r="V375" s="36"/>
      <c r="W375" s="2"/>
      <c r="X375" s="2"/>
    </row>
    <row r="376" spans="1:24" ht="35.65" customHeight="1" x14ac:dyDescent="0.25">
      <c r="A376" s="21"/>
      <c r="B376" s="283"/>
      <c r="C376" s="303"/>
      <c r="D376" s="17" t="s">
        <v>17</v>
      </c>
      <c r="E376" s="18">
        <f t="shared" si="118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36"/>
      <c r="W376" s="2"/>
      <c r="X376" s="2"/>
    </row>
    <row r="377" spans="1:24" ht="37.35" customHeight="1" x14ac:dyDescent="0.25">
      <c r="A377" s="21"/>
      <c r="B377" s="283"/>
      <c r="C377" s="303"/>
      <c r="D377" s="17" t="s">
        <v>18</v>
      </c>
      <c r="E377" s="18">
        <f t="shared" si="118"/>
        <v>55519.799999999996</v>
      </c>
      <c r="F377" s="19"/>
      <c r="G377" s="19">
        <v>4088.6</v>
      </c>
      <c r="H377" s="19">
        <f>3677+890.4</f>
        <v>4567.3999999999996</v>
      </c>
      <c r="I377" s="19">
        <f>3872-819.1+1189.6+682.5</f>
        <v>4925</v>
      </c>
      <c r="J377" s="19">
        <v>5143.3999999999996</v>
      </c>
      <c r="K377" s="19">
        <v>2642.5</v>
      </c>
      <c r="L377" s="19">
        <f>4939.7-62.7</f>
        <v>4877</v>
      </c>
      <c r="M377" s="19">
        <f>7977.9-676.7-603</f>
        <v>6698.2</v>
      </c>
      <c r="N377" s="19">
        <f>8280.1-500.5-158-2243.5</f>
        <v>5378.1</v>
      </c>
      <c r="O377" s="16">
        <f>4923.4-494</f>
        <v>4429.3999999999996</v>
      </c>
      <c r="P377" s="19">
        <f>5121.8-975.7</f>
        <v>4146.1000000000004</v>
      </c>
      <c r="Q377" s="19">
        <f>5278.8-998.2</f>
        <v>4280.6000000000004</v>
      </c>
      <c r="R377" s="19">
        <f>5278.8-935.3</f>
        <v>4343.5</v>
      </c>
      <c r="S377" s="36"/>
      <c r="T377" s="36"/>
      <c r="U377" s="36"/>
      <c r="V377" s="36"/>
      <c r="W377" s="2"/>
      <c r="X377" s="2"/>
    </row>
    <row r="378" spans="1:24" ht="32.85" customHeight="1" x14ac:dyDescent="0.25">
      <c r="A378" s="22"/>
      <c r="B378" s="284"/>
      <c r="C378" s="303"/>
      <c r="D378" s="17" t="s">
        <v>19</v>
      </c>
      <c r="E378" s="18">
        <f t="shared" si="118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36"/>
      <c r="W378" s="2"/>
      <c r="X378" s="2"/>
    </row>
    <row r="379" spans="1:24" ht="36.6" customHeight="1" x14ac:dyDescent="0.25">
      <c r="A379" s="21"/>
      <c r="B379" s="158"/>
      <c r="C379" s="304"/>
      <c r="D379" s="17" t="s">
        <v>21</v>
      </c>
      <c r="E379" s="18">
        <f t="shared" si="118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36"/>
      <c r="W379" s="2"/>
      <c r="X379" s="2"/>
    </row>
    <row r="380" spans="1:24" ht="33.75" customHeight="1" x14ac:dyDescent="0.25">
      <c r="A380" s="160" t="s">
        <v>82</v>
      </c>
      <c r="B380" s="391" t="s">
        <v>173</v>
      </c>
      <c r="C380" s="302" t="s">
        <v>80</v>
      </c>
      <c r="D380" s="17" t="s">
        <v>29</v>
      </c>
      <c r="E380" s="18">
        <f t="shared" si="118"/>
        <v>2275.1</v>
      </c>
      <c r="F380" s="19">
        <f>SUM(F381:F383)</f>
        <v>0</v>
      </c>
      <c r="G380" s="19">
        <f t="shared" ref="G380:L380" si="124">SUM(G381:G383)</f>
        <v>274.10000000000002</v>
      </c>
      <c r="H380" s="19">
        <f t="shared" si="124"/>
        <v>120.30000000000001</v>
      </c>
      <c r="I380" s="19">
        <f t="shared" si="124"/>
        <v>263.10000000000002</v>
      </c>
      <c r="J380" s="19">
        <f t="shared" si="124"/>
        <v>69.7</v>
      </c>
      <c r="K380" s="19">
        <f t="shared" si="124"/>
        <v>265.8</v>
      </c>
      <c r="L380" s="19">
        <f t="shared" si="124"/>
        <v>255.09999999999997</v>
      </c>
      <c r="M380" s="19">
        <f t="shared" ref="M380:R380" si="125">SUM(M381:M383)</f>
        <v>120.99999999999999</v>
      </c>
      <c r="N380" s="19">
        <f t="shared" si="125"/>
        <v>155.50000000000003</v>
      </c>
      <c r="O380" s="19">
        <f t="shared" si="125"/>
        <v>286.39999999999998</v>
      </c>
      <c r="P380" s="19">
        <f t="shared" si="125"/>
        <v>150.70000000000002</v>
      </c>
      <c r="Q380" s="19">
        <f t="shared" si="125"/>
        <v>156.70000000000002</v>
      </c>
      <c r="R380" s="19">
        <f t="shared" si="125"/>
        <v>156.70000000000002</v>
      </c>
      <c r="S380" s="36"/>
      <c r="T380" s="36"/>
      <c r="U380" s="36"/>
      <c r="V380" s="36"/>
      <c r="W380" s="2"/>
      <c r="X380" s="2"/>
    </row>
    <row r="381" spans="1:24" ht="33.75" customHeight="1" x14ac:dyDescent="0.25">
      <c r="A381" s="165"/>
      <c r="B381" s="301"/>
      <c r="C381" s="303"/>
      <c r="D381" s="17" t="s">
        <v>17</v>
      </c>
      <c r="E381" s="18">
        <f t="shared" si="118"/>
        <v>0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36"/>
      <c r="W381" s="2"/>
      <c r="X381" s="2"/>
    </row>
    <row r="382" spans="1:24" ht="34.9" customHeight="1" x14ac:dyDescent="0.25">
      <c r="A382" s="165"/>
      <c r="B382" s="301"/>
      <c r="C382" s="303"/>
      <c r="D382" s="17" t="s">
        <v>18</v>
      </c>
      <c r="E382" s="18">
        <f t="shared" si="118"/>
        <v>2275.1</v>
      </c>
      <c r="F382" s="19"/>
      <c r="G382" s="19">
        <f>1006.3+5.2-54.8-682.5-0.1</f>
        <v>274.10000000000002</v>
      </c>
      <c r="H382" s="19">
        <f>301.1-180.8</f>
        <v>120.30000000000001</v>
      </c>
      <c r="I382" s="19">
        <v>263.10000000000002</v>
      </c>
      <c r="J382" s="19">
        <v>69.7</v>
      </c>
      <c r="K382" s="19">
        <v>265.8</v>
      </c>
      <c r="L382" s="19">
        <f>318.4-63.3</f>
        <v>255.09999999999997</v>
      </c>
      <c r="M382" s="19">
        <f>264.9-100.1-43.8</f>
        <v>120.99999999999999</v>
      </c>
      <c r="N382" s="19">
        <f>343.6-188.1</f>
        <v>155.50000000000003</v>
      </c>
      <c r="O382" s="19">
        <v>286.39999999999998</v>
      </c>
      <c r="P382" s="19">
        <f>299.8-149.1</f>
        <v>150.70000000000002</v>
      </c>
      <c r="Q382" s="19">
        <f>224.8-68.1</f>
        <v>156.70000000000002</v>
      </c>
      <c r="R382" s="19">
        <f>224.8-68.1</f>
        <v>156.70000000000002</v>
      </c>
      <c r="S382" s="36"/>
      <c r="T382" s="36"/>
      <c r="U382" s="36"/>
      <c r="V382" s="36"/>
      <c r="W382" s="2"/>
      <c r="X382" s="2"/>
    </row>
    <row r="383" spans="1:24" ht="42.4" customHeight="1" x14ac:dyDescent="0.25">
      <c r="A383" s="21"/>
      <c r="B383" s="301"/>
      <c r="C383" s="303"/>
      <c r="D383" s="17" t="s">
        <v>19</v>
      </c>
      <c r="E383" s="18">
        <f t="shared" si="118"/>
        <v>0</v>
      </c>
      <c r="F383" s="19">
        <v>0</v>
      </c>
      <c r="G383" s="19">
        <v>0</v>
      </c>
      <c r="H383" s="19"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36"/>
      <c r="T383" s="36"/>
      <c r="U383" s="36"/>
      <c r="V383" s="36"/>
      <c r="W383" s="2"/>
      <c r="X383" s="2"/>
    </row>
    <row r="384" spans="1:24" ht="35.65" customHeight="1" x14ac:dyDescent="0.25">
      <c r="A384" s="22"/>
      <c r="B384" s="156"/>
      <c r="C384" s="304"/>
      <c r="D384" s="17" t="s">
        <v>21</v>
      </c>
      <c r="E384" s="18">
        <f t="shared" si="118"/>
        <v>0</v>
      </c>
      <c r="F384" s="19"/>
      <c r="G384" s="19">
        <v>0</v>
      </c>
      <c r="H384" s="19">
        <v>0</v>
      </c>
      <c r="I384" s="19">
        <v>0</v>
      </c>
      <c r="J384" s="19">
        <v>0</v>
      </c>
      <c r="K384" s="19">
        <v>0</v>
      </c>
      <c r="L384" s="19">
        <v>0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36"/>
      <c r="T384" s="36"/>
      <c r="U384" s="36"/>
      <c r="V384" s="36"/>
      <c r="W384" s="2"/>
      <c r="X384" s="2"/>
    </row>
    <row r="385" spans="1:24" ht="35.25" customHeight="1" x14ac:dyDescent="0.25">
      <c r="A385" s="191" t="s">
        <v>83</v>
      </c>
      <c r="B385" s="390" t="s">
        <v>174</v>
      </c>
      <c r="C385" s="302" t="s">
        <v>80</v>
      </c>
      <c r="D385" s="17" t="s">
        <v>29</v>
      </c>
      <c r="E385" s="18">
        <f t="shared" si="118"/>
        <v>605925.60000000009</v>
      </c>
      <c r="F385" s="19">
        <f t="shared" ref="F385:L385" si="126">SUM(F386:F388)</f>
        <v>0</v>
      </c>
      <c r="G385" s="19">
        <f t="shared" si="126"/>
        <v>44786.8</v>
      </c>
      <c r="H385" s="19">
        <f t="shared" si="126"/>
        <v>47540.500000000007</v>
      </c>
      <c r="I385" s="19">
        <f t="shared" si="126"/>
        <v>48334.9</v>
      </c>
      <c r="J385" s="19">
        <f t="shared" si="126"/>
        <v>48995.7</v>
      </c>
      <c r="K385" s="19">
        <f t="shared" si="126"/>
        <v>51662.400000000001</v>
      </c>
      <c r="L385" s="19">
        <f t="shared" si="126"/>
        <v>53212.1</v>
      </c>
      <c r="M385" s="19">
        <f t="shared" ref="M385:R385" si="127">SUM(M386:M388)</f>
        <v>51737.5</v>
      </c>
      <c r="N385" s="19">
        <f t="shared" si="127"/>
        <v>50477.8</v>
      </c>
      <c r="O385" s="19">
        <f t="shared" si="127"/>
        <v>48871.69999999999</v>
      </c>
      <c r="P385" s="19">
        <f t="shared" si="127"/>
        <v>51995.199999999997</v>
      </c>
      <c r="Q385" s="19">
        <f t="shared" si="127"/>
        <v>54155.5</v>
      </c>
      <c r="R385" s="19">
        <f t="shared" si="127"/>
        <v>54155.5</v>
      </c>
      <c r="S385" s="36"/>
      <c r="T385" s="36"/>
      <c r="U385" s="36"/>
      <c r="V385" s="36"/>
      <c r="W385" s="2"/>
      <c r="X385" s="2"/>
    </row>
    <row r="386" spans="1:24" ht="34.5" customHeight="1" x14ac:dyDescent="0.25">
      <c r="A386" s="191"/>
      <c r="B386" s="301"/>
      <c r="C386" s="340"/>
      <c r="D386" s="17" t="s">
        <v>17</v>
      </c>
      <c r="E386" s="18">
        <f t="shared" si="118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36"/>
      <c r="W386" s="2"/>
      <c r="X386" s="2"/>
    </row>
    <row r="387" spans="1:24" ht="33.75" customHeight="1" x14ac:dyDescent="0.25">
      <c r="A387" s="191"/>
      <c r="B387" s="301"/>
      <c r="C387" s="340"/>
      <c r="D387" s="17" t="s">
        <v>18</v>
      </c>
      <c r="E387" s="18">
        <f>SUM(F387:R387)</f>
        <v>605925.60000000009</v>
      </c>
      <c r="F387" s="19"/>
      <c r="G387" s="19">
        <f>38536.8-1315.8+1315.8+5756.6+493.4</f>
        <v>44786.8</v>
      </c>
      <c r="H387" s="19">
        <f>38692.8+4276.3+4571.4</f>
        <v>47540.500000000007</v>
      </c>
      <c r="I387" s="19">
        <f>41238.4+7589.8+60.2-553.5</f>
        <v>48334.9</v>
      </c>
      <c r="J387" s="19">
        <v>48995.7</v>
      </c>
      <c r="K387" s="19">
        <v>51662.400000000001</v>
      </c>
      <c r="L387" s="19">
        <f>52922.2-34.9+411.8-87</f>
        <v>53212.1</v>
      </c>
      <c r="M387" s="19">
        <f>54511.2-2773.7</f>
        <v>51737.5</v>
      </c>
      <c r="N387" s="19">
        <f>55705.7-4686.7-126-415.2</f>
        <v>50477.8</v>
      </c>
      <c r="O387" s="16">
        <f>56952.7-4946.3-2921.3-213.4</f>
        <v>48871.69999999999</v>
      </c>
      <c r="P387" s="19">
        <f>59757.5-7762.3</f>
        <v>51995.199999999997</v>
      </c>
      <c r="Q387" s="19">
        <f>59757.5-5602</f>
        <v>54155.5</v>
      </c>
      <c r="R387" s="19">
        <f>59757.5-5602</f>
        <v>54155.5</v>
      </c>
      <c r="S387" s="36"/>
      <c r="T387" s="36"/>
      <c r="U387" s="36"/>
      <c r="V387" s="36"/>
      <c r="W387" s="2"/>
      <c r="X387" s="2"/>
    </row>
    <row r="388" spans="1:24" ht="47.1" customHeight="1" x14ac:dyDescent="0.25">
      <c r="A388" s="191"/>
      <c r="B388" s="301"/>
      <c r="C388" s="340"/>
      <c r="D388" s="17" t="s">
        <v>19</v>
      </c>
      <c r="E388" s="18">
        <f t="shared" si="118"/>
        <v>0</v>
      </c>
      <c r="F388" s="19">
        <v>0</v>
      </c>
      <c r="G388" s="19">
        <v>0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9">
        <v>0</v>
      </c>
      <c r="S388" s="36"/>
      <c r="T388" s="36"/>
      <c r="U388" s="36"/>
      <c r="V388" s="36"/>
      <c r="W388" s="2"/>
      <c r="X388" s="2"/>
    </row>
    <row r="389" spans="1:24" ht="38.25" customHeight="1" x14ac:dyDescent="0.25">
      <c r="A389" s="22"/>
      <c r="B389" s="108"/>
      <c r="C389" s="341"/>
      <c r="D389" s="17" t="s">
        <v>21</v>
      </c>
      <c r="E389" s="18">
        <f t="shared" si="118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36"/>
      <c r="W389" s="2"/>
      <c r="X389" s="2"/>
    </row>
    <row r="390" spans="1:24" ht="19.149999999999999" customHeight="1" x14ac:dyDescent="0.25">
      <c r="A390" s="325" t="s">
        <v>84</v>
      </c>
      <c r="B390" s="307" t="s">
        <v>85</v>
      </c>
      <c r="C390" s="53"/>
      <c r="D390" s="14" t="s">
        <v>4</v>
      </c>
      <c r="E390" s="15">
        <f>SUM(G390:R390)</f>
        <v>157572.20000000001</v>
      </c>
      <c r="F390" s="16"/>
      <c r="G390" s="16">
        <f t="shared" ref="G390:L390" si="128">G395+G400</f>
        <v>15010.3</v>
      </c>
      <c r="H390" s="16">
        <f t="shared" si="128"/>
        <v>13722.2</v>
      </c>
      <c r="I390" s="16">
        <f t="shared" si="128"/>
        <v>15178.4</v>
      </c>
      <c r="J390" s="16">
        <f>J395+J400</f>
        <v>16395</v>
      </c>
      <c r="K390" s="16">
        <f t="shared" si="128"/>
        <v>15875.9</v>
      </c>
      <c r="L390" s="16">
        <f t="shared" si="128"/>
        <v>1328.8</v>
      </c>
      <c r="M390" s="16">
        <f t="shared" ref="M390:R390" si="129">M395+M400</f>
        <v>14108.5</v>
      </c>
      <c r="N390" s="16">
        <f t="shared" si="129"/>
        <v>8505.2999999999993</v>
      </c>
      <c r="O390" s="16">
        <f t="shared" si="129"/>
        <v>13308.1</v>
      </c>
      <c r="P390" s="16">
        <f t="shared" si="129"/>
        <v>14870.2</v>
      </c>
      <c r="Q390" s="16">
        <f t="shared" si="129"/>
        <v>14751.3</v>
      </c>
      <c r="R390" s="16">
        <f t="shared" si="129"/>
        <v>14518.2</v>
      </c>
      <c r="S390" s="82"/>
      <c r="T390" s="82"/>
      <c r="U390" s="82"/>
      <c r="V390" s="82"/>
      <c r="W390" s="2"/>
      <c r="X390" s="2"/>
    </row>
    <row r="391" spans="1:24" ht="30.75" customHeight="1" x14ac:dyDescent="0.25">
      <c r="A391" s="337"/>
      <c r="B391" s="313"/>
      <c r="C391" s="54"/>
      <c r="D391" s="17" t="s">
        <v>17</v>
      </c>
      <c r="E391" s="18">
        <f t="shared" si="118"/>
        <v>0</v>
      </c>
      <c r="F391" s="16"/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36"/>
      <c r="W391" s="2"/>
      <c r="X391" s="2"/>
    </row>
    <row r="392" spans="1:24" ht="28.15" customHeight="1" x14ac:dyDescent="0.25">
      <c r="A392" s="337"/>
      <c r="B392" s="313"/>
      <c r="C392" s="54"/>
      <c r="D392" s="17" t="s">
        <v>18</v>
      </c>
      <c r="E392" s="18">
        <f t="shared" si="118"/>
        <v>102005.4</v>
      </c>
      <c r="F392" s="16"/>
      <c r="G392" s="19">
        <f t="shared" ref="G392:L393" si="130">G397+G402</f>
        <v>9447.2000000000007</v>
      </c>
      <c r="H392" s="19">
        <f t="shared" si="130"/>
        <v>6816.3</v>
      </c>
      <c r="I392" s="19">
        <f t="shared" si="130"/>
        <v>7103.6</v>
      </c>
      <c r="J392" s="19">
        <f t="shared" si="130"/>
        <v>7657</v>
      </c>
      <c r="K392" s="19">
        <f t="shared" si="130"/>
        <v>7381.7999999999993</v>
      </c>
      <c r="L392" s="19">
        <f>L397+L402</f>
        <v>0</v>
      </c>
      <c r="M392" s="19">
        <f>M397+M402</f>
        <v>6177.8</v>
      </c>
      <c r="N392" s="19">
        <f t="shared" ref="M392:Q393" si="131">N397+N402</f>
        <v>7337</v>
      </c>
      <c r="O392" s="19">
        <f t="shared" si="131"/>
        <v>11409</v>
      </c>
      <c r="P392" s="19">
        <f t="shared" si="131"/>
        <v>12098</v>
      </c>
      <c r="Q392" s="19">
        <f t="shared" si="131"/>
        <v>13290.2</v>
      </c>
      <c r="R392" s="19">
        <f>R397+R402</f>
        <v>13287.5</v>
      </c>
      <c r="S392" s="36"/>
      <c r="T392" s="36"/>
      <c r="U392" s="36"/>
      <c r="V392" s="36"/>
      <c r="W392" s="2"/>
      <c r="X392" s="2"/>
    </row>
    <row r="393" spans="1:24" ht="39.950000000000003" customHeight="1" x14ac:dyDescent="0.25">
      <c r="A393" s="327"/>
      <c r="B393" s="301"/>
      <c r="C393" s="55"/>
      <c r="D393" s="17" t="s">
        <v>19</v>
      </c>
      <c r="E393" s="18">
        <f t="shared" si="118"/>
        <v>55566.799999999996</v>
      </c>
      <c r="F393" s="16"/>
      <c r="G393" s="19">
        <f t="shared" si="130"/>
        <v>5563.1</v>
      </c>
      <c r="H393" s="19">
        <f t="shared" si="130"/>
        <v>6905.9</v>
      </c>
      <c r="I393" s="19">
        <f t="shared" si="130"/>
        <v>8074.8</v>
      </c>
      <c r="J393" s="19">
        <f t="shared" si="130"/>
        <v>8738</v>
      </c>
      <c r="K393" s="19">
        <f t="shared" si="130"/>
        <v>8494.1</v>
      </c>
      <c r="L393" s="19">
        <f t="shared" si="130"/>
        <v>1328.8</v>
      </c>
      <c r="M393" s="19">
        <f t="shared" si="131"/>
        <v>7930.7</v>
      </c>
      <c r="N393" s="19">
        <f t="shared" si="131"/>
        <v>1168.3</v>
      </c>
      <c r="O393" s="19">
        <f t="shared" si="131"/>
        <v>1899.1</v>
      </c>
      <c r="P393" s="19">
        <f t="shared" si="131"/>
        <v>2772.2</v>
      </c>
      <c r="Q393" s="19">
        <f t="shared" si="131"/>
        <v>1461.1</v>
      </c>
      <c r="R393" s="19">
        <f>R398+R403</f>
        <v>1230.7</v>
      </c>
      <c r="S393" s="36"/>
      <c r="T393" s="36"/>
      <c r="U393" s="36"/>
      <c r="V393" s="36"/>
      <c r="W393" s="2"/>
      <c r="X393" s="2"/>
    </row>
    <row r="394" spans="1:24" ht="26.25" customHeight="1" x14ac:dyDescent="0.25">
      <c r="A394" s="327"/>
      <c r="B394" s="301"/>
      <c r="C394" s="55"/>
      <c r="D394" s="23" t="s">
        <v>21</v>
      </c>
      <c r="E394" s="18">
        <f t="shared" si="118"/>
        <v>0</v>
      </c>
      <c r="F394" s="41"/>
      <c r="G394" s="25">
        <f t="shared" ref="G394:L394" si="132">G399</f>
        <v>0</v>
      </c>
      <c r="H394" s="25">
        <f t="shared" si="132"/>
        <v>0</v>
      </c>
      <c r="I394" s="25">
        <f t="shared" si="132"/>
        <v>0</v>
      </c>
      <c r="J394" s="25">
        <f t="shared" si="132"/>
        <v>0</v>
      </c>
      <c r="K394" s="25">
        <f t="shared" si="132"/>
        <v>0</v>
      </c>
      <c r="L394" s="25">
        <f t="shared" si="132"/>
        <v>0</v>
      </c>
      <c r="M394" s="25">
        <f t="shared" ref="M394:R394" si="133">M399</f>
        <v>0</v>
      </c>
      <c r="N394" s="25">
        <f t="shared" si="133"/>
        <v>0</v>
      </c>
      <c r="O394" s="25">
        <f t="shared" si="133"/>
        <v>0</v>
      </c>
      <c r="P394" s="25">
        <f t="shared" si="133"/>
        <v>0</v>
      </c>
      <c r="Q394" s="25">
        <f t="shared" si="133"/>
        <v>0</v>
      </c>
      <c r="R394" s="25">
        <f t="shared" si="133"/>
        <v>0</v>
      </c>
      <c r="S394" s="36"/>
      <c r="T394" s="36"/>
      <c r="U394" s="36"/>
      <c r="V394" s="36"/>
      <c r="W394" s="2"/>
      <c r="X394" s="2"/>
    </row>
    <row r="395" spans="1:24" ht="34.5" customHeight="1" x14ac:dyDescent="0.25">
      <c r="A395" s="190" t="s">
        <v>86</v>
      </c>
      <c r="B395" s="280" t="s">
        <v>87</v>
      </c>
      <c r="C395" s="302" t="s">
        <v>80</v>
      </c>
      <c r="D395" s="17" t="s">
        <v>29</v>
      </c>
      <c r="E395" s="18">
        <f>SUM(F395:R395)</f>
        <v>141871.1</v>
      </c>
      <c r="F395" s="19">
        <f t="shared" ref="F395:L395" si="134">SUM(F396:F398)</f>
        <v>0</v>
      </c>
      <c r="G395" s="19">
        <f t="shared" si="134"/>
        <v>12339.5</v>
      </c>
      <c r="H395" s="19">
        <f t="shared" si="134"/>
        <v>12722.2</v>
      </c>
      <c r="I395" s="19">
        <f t="shared" si="134"/>
        <v>14179.8</v>
      </c>
      <c r="J395" s="19">
        <f>SUM(J396:J398)</f>
        <v>15405.3</v>
      </c>
      <c r="K395" s="19">
        <f t="shared" si="134"/>
        <v>14727.199999999999</v>
      </c>
      <c r="L395" s="19">
        <f t="shared" si="134"/>
        <v>0</v>
      </c>
      <c r="M395" s="19">
        <f t="shared" ref="M395:R395" si="135">SUM(M396:M398)</f>
        <v>11105.5</v>
      </c>
      <c r="N395" s="19">
        <f t="shared" si="135"/>
        <v>7805.3</v>
      </c>
      <c r="O395" s="19">
        <f t="shared" si="135"/>
        <v>12442</v>
      </c>
      <c r="P395" s="19">
        <f t="shared" si="135"/>
        <v>12870.2</v>
      </c>
      <c r="Q395" s="19">
        <f t="shared" si="135"/>
        <v>14138.5</v>
      </c>
      <c r="R395" s="19">
        <f t="shared" si="135"/>
        <v>14135.6</v>
      </c>
      <c r="S395" s="36"/>
      <c r="T395" s="36"/>
      <c r="U395" s="36"/>
      <c r="V395" s="36"/>
      <c r="W395" s="2"/>
      <c r="X395" s="2"/>
    </row>
    <row r="396" spans="1:24" ht="24" customHeight="1" x14ac:dyDescent="0.25">
      <c r="A396" s="21"/>
      <c r="B396" s="281"/>
      <c r="C396" s="303"/>
      <c r="D396" s="17" t="s">
        <v>17</v>
      </c>
      <c r="E396" s="18">
        <f t="shared" si="118"/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36"/>
      <c r="T396" s="36"/>
      <c r="U396" s="36"/>
      <c r="V396" s="36"/>
      <c r="W396" s="2"/>
      <c r="X396" s="2"/>
    </row>
    <row r="397" spans="1:24" ht="29.85" customHeight="1" x14ac:dyDescent="0.25">
      <c r="A397" s="21"/>
      <c r="B397" s="281"/>
      <c r="C397" s="303"/>
      <c r="D397" s="17" t="s">
        <v>18</v>
      </c>
      <c r="E397" s="18">
        <f t="shared" si="118"/>
        <v>102005.4</v>
      </c>
      <c r="F397" s="19">
        <v>0</v>
      </c>
      <c r="G397" s="19">
        <f>8723.6+723.6</f>
        <v>9447.2000000000007</v>
      </c>
      <c r="H397" s="19">
        <f>9667.5-2348.4-502.8</f>
        <v>6816.3</v>
      </c>
      <c r="I397" s="19">
        <f>4661.7+2441.9</f>
        <v>7103.6</v>
      </c>
      <c r="J397" s="19">
        <f>5314.1-2.3+2345.2</f>
        <v>7657</v>
      </c>
      <c r="K397" s="19">
        <f>6608.4-0.3+773.7</f>
        <v>7381.7999999999993</v>
      </c>
      <c r="L397" s="19">
        <f>7490.6-4159.7-3330.9</f>
        <v>0</v>
      </c>
      <c r="M397" s="19">
        <f>7055.3-491.5-386</f>
        <v>6177.8</v>
      </c>
      <c r="N397" s="19">
        <f>9063.6-1726.6</f>
        <v>7337</v>
      </c>
      <c r="O397" s="16">
        <f>6915.1+1869.7+2150.4+473.8</f>
        <v>11409</v>
      </c>
      <c r="P397" s="279">
        <f>9330.9+3959.3-1192.2</f>
        <v>12098</v>
      </c>
      <c r="Q397" s="19">
        <f>9323.5+3966.7</f>
        <v>13290.2</v>
      </c>
      <c r="R397" s="19">
        <f>9323.5+3964</f>
        <v>13287.5</v>
      </c>
      <c r="S397" s="36"/>
      <c r="T397" s="36"/>
      <c r="U397" s="36"/>
      <c r="V397" s="36"/>
      <c r="W397" s="2"/>
      <c r="X397" s="2"/>
    </row>
    <row r="398" spans="1:24" ht="26.85" customHeight="1" x14ac:dyDescent="0.25">
      <c r="A398" s="21"/>
      <c r="B398" s="272"/>
      <c r="C398" s="303"/>
      <c r="D398" s="17" t="s">
        <v>19</v>
      </c>
      <c r="E398" s="18">
        <f t="shared" si="118"/>
        <v>39865.699999999997</v>
      </c>
      <c r="F398" s="19"/>
      <c r="G398" s="19">
        <f>5413-2520.7</f>
        <v>2892.3</v>
      </c>
      <c r="H398" s="19">
        <f>5000+972.5-66.6</f>
        <v>5905.9</v>
      </c>
      <c r="I398" s="19">
        <f>6000+1055.8+20.4</f>
        <v>7076.2</v>
      </c>
      <c r="J398" s="19">
        <v>7748.3</v>
      </c>
      <c r="K398" s="19">
        <v>7345.4</v>
      </c>
      <c r="L398" s="19">
        <f>5526.8+478.1-6004.9</f>
        <v>0</v>
      </c>
      <c r="M398" s="19">
        <f>4983.7-31.4-24.6</f>
        <v>4927.7</v>
      </c>
      <c r="N398" s="19">
        <f>3169.6-2591.1-110.2</f>
        <v>468.3</v>
      </c>
      <c r="O398" s="16">
        <f>441.4+119.3+137.3+214.8+30.2+90</f>
        <v>1033</v>
      </c>
      <c r="P398" s="279">
        <f>595.6+252.7-76.1</f>
        <v>772.19999999999993</v>
      </c>
      <c r="Q398" s="19">
        <f>595.1+253.2</f>
        <v>848.3</v>
      </c>
      <c r="R398" s="19">
        <f>595.1+253</f>
        <v>848.1</v>
      </c>
      <c r="S398" s="36"/>
      <c r="T398" s="36"/>
      <c r="U398" s="36"/>
      <c r="V398" s="36"/>
      <c r="W398" s="2"/>
      <c r="X398" s="2"/>
    </row>
    <row r="399" spans="1:24" ht="31.9" customHeight="1" x14ac:dyDescent="0.25">
      <c r="A399" s="22"/>
      <c r="B399" s="216"/>
      <c r="C399" s="304"/>
      <c r="D399" s="17" t="s">
        <v>21</v>
      </c>
      <c r="E399" s="18">
        <f t="shared" si="118"/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0</v>
      </c>
      <c r="S399" s="36"/>
      <c r="T399" s="36"/>
      <c r="U399" s="36"/>
      <c r="V399" s="36"/>
      <c r="W399" s="2"/>
      <c r="X399" s="2"/>
    </row>
    <row r="400" spans="1:24" ht="29.25" customHeight="1" x14ac:dyDescent="0.25">
      <c r="A400" s="261" t="s">
        <v>88</v>
      </c>
      <c r="B400" s="366" t="s">
        <v>89</v>
      </c>
      <c r="C400" s="302" t="s">
        <v>90</v>
      </c>
      <c r="D400" s="17" t="s">
        <v>29</v>
      </c>
      <c r="E400" s="18">
        <f t="shared" si="118"/>
        <v>15701.1</v>
      </c>
      <c r="F400" s="19">
        <f t="shared" ref="F400:Q400" si="136">SUM(F401:F403)</f>
        <v>0</v>
      </c>
      <c r="G400" s="19">
        <f t="shared" si="136"/>
        <v>2670.8</v>
      </c>
      <c r="H400" s="19">
        <f t="shared" si="136"/>
        <v>1000</v>
      </c>
      <c r="I400" s="19">
        <f t="shared" si="136"/>
        <v>998.6</v>
      </c>
      <c r="J400" s="19">
        <f t="shared" si="136"/>
        <v>989.7</v>
      </c>
      <c r="K400" s="19">
        <f t="shared" si="136"/>
        <v>1148.7</v>
      </c>
      <c r="L400" s="19">
        <f t="shared" si="136"/>
        <v>1328.8</v>
      </c>
      <c r="M400" s="19">
        <f t="shared" si="136"/>
        <v>3003</v>
      </c>
      <c r="N400" s="19">
        <f t="shared" si="136"/>
        <v>700</v>
      </c>
      <c r="O400" s="19">
        <f t="shared" si="136"/>
        <v>866.1</v>
      </c>
      <c r="P400" s="19">
        <f t="shared" si="136"/>
        <v>2000</v>
      </c>
      <c r="Q400" s="19">
        <f t="shared" si="136"/>
        <v>612.79999999999995</v>
      </c>
      <c r="R400" s="19">
        <f>SUM(R401:R403)</f>
        <v>382.6</v>
      </c>
      <c r="S400" s="36"/>
      <c r="T400" s="36"/>
      <c r="U400" s="36"/>
      <c r="V400" s="36"/>
      <c r="W400" s="2"/>
      <c r="X400" s="2"/>
    </row>
    <row r="401" spans="1:24" ht="36.6" customHeight="1" x14ac:dyDescent="0.25">
      <c r="A401" s="258"/>
      <c r="B401" s="301"/>
      <c r="C401" s="303"/>
      <c r="D401" s="17" t="s">
        <v>17</v>
      </c>
      <c r="E401" s="18">
        <f t="shared" si="118"/>
        <v>0</v>
      </c>
      <c r="F401" s="19">
        <v>0</v>
      </c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36"/>
      <c r="W401" s="2"/>
      <c r="X401" s="2"/>
    </row>
    <row r="402" spans="1:24" ht="33.4" customHeight="1" x14ac:dyDescent="0.25">
      <c r="A402" s="258"/>
      <c r="B402" s="301"/>
      <c r="C402" s="303"/>
      <c r="D402" s="17" t="s">
        <v>18</v>
      </c>
      <c r="E402" s="18">
        <f t="shared" si="118"/>
        <v>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0</v>
      </c>
      <c r="S402" s="36"/>
      <c r="T402" s="36"/>
      <c r="U402" s="36"/>
      <c r="V402" s="36"/>
      <c r="W402" s="2"/>
      <c r="X402" s="2"/>
    </row>
    <row r="403" spans="1:24" ht="30.75" customHeight="1" x14ac:dyDescent="0.25">
      <c r="A403" s="258"/>
      <c r="B403" s="301"/>
      <c r="C403" s="303"/>
      <c r="D403" s="17" t="s">
        <v>19</v>
      </c>
      <c r="E403" s="18">
        <f>SUM(F403:R403)</f>
        <v>15701.1</v>
      </c>
      <c r="F403" s="19"/>
      <c r="G403" s="19">
        <f>2671.4-0.6</f>
        <v>2670.8</v>
      </c>
      <c r="H403" s="19">
        <v>1000</v>
      </c>
      <c r="I403" s="19">
        <f>1000-1.4</f>
        <v>998.6</v>
      </c>
      <c r="J403" s="19">
        <v>989.7</v>
      </c>
      <c r="K403" s="19">
        <v>1148.7</v>
      </c>
      <c r="L403" s="19">
        <f>2000-671.2</f>
        <v>1328.8</v>
      </c>
      <c r="M403" s="19">
        <f>1400-1400+3000+3</f>
        <v>3003</v>
      </c>
      <c r="N403" s="19">
        <f>1000-1000+700</f>
        <v>700</v>
      </c>
      <c r="O403" s="19">
        <f>566.1+300</f>
        <v>866.1</v>
      </c>
      <c r="P403" s="262">
        <f>464.8+1535.2</f>
        <v>2000</v>
      </c>
      <c r="Q403" s="19">
        <v>612.79999999999995</v>
      </c>
      <c r="R403" s="19">
        <v>382.6</v>
      </c>
      <c r="S403" s="36"/>
      <c r="T403" s="36"/>
      <c r="U403" s="36"/>
      <c r="V403" s="36"/>
      <c r="W403" s="2"/>
      <c r="X403" s="2"/>
    </row>
    <row r="404" spans="1:24" ht="34.15" customHeight="1" x14ac:dyDescent="0.25">
      <c r="A404" s="260"/>
      <c r="B404" s="315"/>
      <c r="C404" s="304"/>
      <c r="D404" s="17" t="s">
        <v>21</v>
      </c>
      <c r="E404" s="18">
        <f t="shared" si="118"/>
        <v>0</v>
      </c>
      <c r="F404" s="19"/>
      <c r="G404" s="19">
        <v>0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36"/>
      <c r="T404" s="36"/>
      <c r="U404" s="36"/>
      <c r="V404" s="36"/>
      <c r="W404" s="2"/>
      <c r="X404" s="2"/>
    </row>
    <row r="405" spans="1:24" ht="15" hidden="1" customHeight="1" x14ac:dyDescent="0.25">
      <c r="A405" s="305" t="s">
        <v>91</v>
      </c>
      <c r="B405" s="385" t="s">
        <v>42</v>
      </c>
      <c r="C405" s="287" t="s">
        <v>90</v>
      </c>
      <c r="D405" s="17" t="s">
        <v>29</v>
      </c>
      <c r="E405" s="18">
        <f>SUM(F405:L405)</f>
        <v>0</v>
      </c>
      <c r="F405" s="19">
        <f>SUM(F406:F408)</f>
        <v>0</v>
      </c>
      <c r="G405" s="19">
        <f t="shared" ref="G405:L405" si="137">SUM(G406:G408)</f>
        <v>0</v>
      </c>
      <c r="H405" s="19">
        <f t="shared" si="137"/>
        <v>0</v>
      </c>
      <c r="I405" s="19">
        <f t="shared" si="137"/>
        <v>0</v>
      </c>
      <c r="J405" s="19">
        <f t="shared" si="137"/>
        <v>0</v>
      </c>
      <c r="K405" s="19">
        <f t="shared" si="137"/>
        <v>0</v>
      </c>
      <c r="L405" s="19">
        <f t="shared" si="137"/>
        <v>0</v>
      </c>
      <c r="M405" s="19">
        <f>SUM(M406:M408)</f>
        <v>0</v>
      </c>
      <c r="N405" s="19"/>
      <c r="O405" s="19"/>
      <c r="P405" s="19"/>
      <c r="Q405" s="19"/>
      <c r="R405" s="19"/>
      <c r="S405" s="36"/>
      <c r="T405" s="36"/>
      <c r="U405" s="36"/>
      <c r="V405" s="36"/>
      <c r="W405" s="2"/>
      <c r="X405" s="2"/>
    </row>
    <row r="406" spans="1:24" ht="18" hidden="1" customHeight="1" x14ac:dyDescent="0.25">
      <c r="A406" s="305"/>
      <c r="B406" s="285"/>
      <c r="C406" s="288"/>
      <c r="D406" s="17" t="s">
        <v>17</v>
      </c>
      <c r="E406" s="18">
        <f>SUM(F406:L406)</f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/>
      <c r="O406" s="19"/>
      <c r="P406" s="19"/>
      <c r="Q406" s="19"/>
      <c r="R406" s="19"/>
      <c r="S406" s="36"/>
      <c r="T406" s="36"/>
      <c r="U406" s="36"/>
      <c r="V406" s="36"/>
      <c r="W406" s="2"/>
      <c r="X406" s="2"/>
    </row>
    <row r="407" spans="1:24" ht="26.25" hidden="1" customHeight="1" x14ac:dyDescent="0.25">
      <c r="A407" s="305"/>
      <c r="B407" s="285"/>
      <c r="C407" s="288"/>
      <c r="D407" s="17" t="s">
        <v>18</v>
      </c>
      <c r="E407" s="18">
        <f>SUM(F407:L407)</f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/>
      <c r="O407" s="19"/>
      <c r="P407" s="19"/>
      <c r="Q407" s="19"/>
      <c r="R407" s="19"/>
      <c r="S407" s="36"/>
      <c r="T407" s="36"/>
      <c r="U407" s="36"/>
      <c r="V407" s="36"/>
      <c r="W407" s="2"/>
      <c r="X407" s="2"/>
    </row>
    <row r="408" spans="1:24" ht="1.1499999999999999" hidden="1" customHeight="1" x14ac:dyDescent="0.25">
      <c r="A408" s="305"/>
      <c r="B408" s="285"/>
      <c r="C408" s="288"/>
      <c r="D408" s="17" t="s">
        <v>19</v>
      </c>
      <c r="E408" s="18">
        <f>SUM(F408:L408)</f>
        <v>0</v>
      </c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36"/>
      <c r="T408" s="36"/>
      <c r="U408" s="36"/>
      <c r="V408" s="36"/>
      <c r="W408" s="2"/>
      <c r="X408" s="2"/>
    </row>
    <row r="409" spans="1:24" ht="1.1499999999999999" hidden="1" customHeight="1" x14ac:dyDescent="0.25">
      <c r="A409" s="320"/>
      <c r="B409" s="285"/>
      <c r="C409" s="289"/>
      <c r="D409" s="17" t="s">
        <v>21</v>
      </c>
      <c r="E409" s="18">
        <f>SUM(F409:L409)</f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/>
      <c r="O409" s="19"/>
      <c r="P409" s="19"/>
      <c r="Q409" s="19"/>
      <c r="R409" s="19"/>
      <c r="S409" s="36"/>
      <c r="T409" s="36"/>
      <c r="U409" s="36"/>
      <c r="V409" s="36"/>
      <c r="W409" s="2"/>
      <c r="X409" s="2"/>
    </row>
    <row r="410" spans="1:24" ht="32.1" customHeight="1" x14ac:dyDescent="0.25">
      <c r="A410" s="193" t="s">
        <v>92</v>
      </c>
      <c r="B410" s="194" t="s">
        <v>93</v>
      </c>
      <c r="C410" s="56"/>
      <c r="D410" s="14" t="s">
        <v>4</v>
      </c>
      <c r="E410" s="15">
        <f>SUM(G410:R410)</f>
        <v>6375.5</v>
      </c>
      <c r="F410" s="16"/>
      <c r="G410" s="16">
        <f t="shared" ref="G410:L410" si="138">G415</f>
        <v>0</v>
      </c>
      <c r="H410" s="16">
        <f t="shared" si="138"/>
        <v>0</v>
      </c>
      <c r="I410" s="16">
        <f t="shared" si="138"/>
        <v>0</v>
      </c>
      <c r="J410" s="16">
        <f t="shared" si="138"/>
        <v>0</v>
      </c>
      <c r="K410" s="16">
        <f t="shared" si="138"/>
        <v>537.79999999999995</v>
      </c>
      <c r="L410" s="16">
        <f t="shared" si="138"/>
        <v>252.70000000000002</v>
      </c>
      <c r="M410" s="16">
        <f t="shared" ref="M410:R410" si="139">M415</f>
        <v>235.4</v>
      </c>
      <c r="N410" s="16">
        <f t="shared" si="139"/>
        <v>1059.2000000000003</v>
      </c>
      <c r="O410" s="16">
        <f t="shared" si="139"/>
        <v>1801.6</v>
      </c>
      <c r="P410" s="16">
        <f t="shared" si="139"/>
        <v>1255.0999999999999</v>
      </c>
      <c r="Q410" s="16">
        <f t="shared" si="139"/>
        <v>759.5</v>
      </c>
      <c r="R410" s="16">
        <f t="shared" si="139"/>
        <v>474.2</v>
      </c>
      <c r="S410" s="82"/>
      <c r="T410" s="82"/>
      <c r="U410" s="82"/>
      <c r="V410" s="82"/>
      <c r="W410" s="2"/>
      <c r="X410" s="2"/>
    </row>
    <row r="411" spans="1:24" ht="35.65" customHeight="1" x14ac:dyDescent="0.25">
      <c r="A411" s="81"/>
      <c r="B411" s="195"/>
      <c r="C411" s="42"/>
      <c r="D411" s="17" t="s">
        <v>17</v>
      </c>
      <c r="E411" s="18">
        <f>SUM(F411:R411)</f>
        <v>0</v>
      </c>
      <c r="F411" s="16"/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36"/>
      <c r="T411" s="36"/>
      <c r="U411" s="36"/>
      <c r="V411" s="36"/>
      <c r="W411" s="2"/>
      <c r="X411" s="2"/>
    </row>
    <row r="412" spans="1:24" ht="41.25" customHeight="1" x14ac:dyDescent="0.25">
      <c r="A412" s="51"/>
      <c r="B412" s="241"/>
      <c r="C412" s="42"/>
      <c r="D412" s="17" t="s">
        <v>18</v>
      </c>
      <c r="E412" s="18">
        <f t="shared" ref="E412:E417" si="140">SUM(F412:R412)</f>
        <v>0</v>
      </c>
      <c r="F412" s="41"/>
      <c r="G412" s="25">
        <v>0</v>
      </c>
      <c r="H412" s="25">
        <v>0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5">
        <v>0</v>
      </c>
      <c r="R412" s="25">
        <v>0</v>
      </c>
      <c r="S412" s="36"/>
      <c r="T412" s="36"/>
      <c r="U412" s="36"/>
      <c r="V412" s="36"/>
      <c r="W412" s="2"/>
      <c r="X412" s="2"/>
    </row>
    <row r="413" spans="1:24" ht="32.1" customHeight="1" x14ac:dyDescent="0.25">
      <c r="A413" s="81"/>
      <c r="B413" s="195"/>
      <c r="C413" s="42"/>
      <c r="D413" s="23" t="s">
        <v>19</v>
      </c>
      <c r="E413" s="18">
        <f t="shared" si="140"/>
        <v>6375.5</v>
      </c>
      <c r="F413" s="16"/>
      <c r="G413" s="19">
        <f t="shared" ref="G413:L413" si="141">G418</f>
        <v>0</v>
      </c>
      <c r="H413" s="19">
        <f t="shared" si="141"/>
        <v>0</v>
      </c>
      <c r="I413" s="19">
        <f t="shared" si="141"/>
        <v>0</v>
      </c>
      <c r="J413" s="19">
        <f t="shared" si="141"/>
        <v>0</v>
      </c>
      <c r="K413" s="19">
        <f t="shared" si="141"/>
        <v>537.79999999999995</v>
      </c>
      <c r="L413" s="19">
        <f t="shared" si="141"/>
        <v>252.70000000000002</v>
      </c>
      <c r="M413" s="19">
        <f t="shared" ref="M413:R413" si="142">M418</f>
        <v>235.4</v>
      </c>
      <c r="N413" s="19">
        <f t="shared" si="142"/>
        <v>1059.2000000000003</v>
      </c>
      <c r="O413" s="19">
        <f t="shared" si="142"/>
        <v>1801.6</v>
      </c>
      <c r="P413" s="19">
        <f t="shared" si="142"/>
        <v>1255.0999999999999</v>
      </c>
      <c r="Q413" s="19">
        <f t="shared" si="142"/>
        <v>759.5</v>
      </c>
      <c r="R413" s="19">
        <f t="shared" si="142"/>
        <v>474.2</v>
      </c>
      <c r="S413" s="36"/>
      <c r="T413" s="36"/>
      <c r="U413" s="36"/>
      <c r="V413" s="36"/>
      <c r="W413" s="2"/>
      <c r="X413" s="2"/>
    </row>
    <row r="414" spans="1:24" ht="33.4" customHeight="1" x14ac:dyDescent="0.25">
      <c r="A414" s="51"/>
      <c r="B414" s="196"/>
      <c r="C414" s="42"/>
      <c r="D414" s="17" t="s">
        <v>21</v>
      </c>
      <c r="E414" s="18">
        <f t="shared" si="140"/>
        <v>0</v>
      </c>
      <c r="F414" s="41"/>
      <c r="G414" s="25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5">
        <v>0</v>
      </c>
      <c r="S414" s="36"/>
      <c r="T414" s="36"/>
      <c r="U414" s="36"/>
      <c r="V414" s="36"/>
      <c r="W414" s="2"/>
      <c r="X414" s="2"/>
    </row>
    <row r="415" spans="1:24" ht="39.75" customHeight="1" x14ac:dyDescent="0.25">
      <c r="A415" s="271" t="s">
        <v>94</v>
      </c>
      <c r="B415" s="395" t="s">
        <v>95</v>
      </c>
      <c r="C415" s="302" t="s">
        <v>96</v>
      </c>
      <c r="D415" s="17" t="s">
        <v>29</v>
      </c>
      <c r="E415" s="18">
        <f t="shared" si="140"/>
        <v>6375.5</v>
      </c>
      <c r="F415" s="19">
        <f>SUM(F416:F418)</f>
        <v>0</v>
      </c>
      <c r="G415" s="19">
        <f t="shared" ref="G415:L415" si="143">SUM(G416:G418)</f>
        <v>0</v>
      </c>
      <c r="H415" s="19">
        <f t="shared" si="143"/>
        <v>0</v>
      </c>
      <c r="I415" s="19">
        <f t="shared" si="143"/>
        <v>0</v>
      </c>
      <c r="J415" s="19">
        <f t="shared" si="143"/>
        <v>0</v>
      </c>
      <c r="K415" s="19">
        <f t="shared" si="143"/>
        <v>537.79999999999995</v>
      </c>
      <c r="L415" s="19">
        <f t="shared" si="143"/>
        <v>252.70000000000002</v>
      </c>
      <c r="M415" s="19">
        <f t="shared" ref="M415:R415" si="144">SUM(M416:M418)</f>
        <v>235.4</v>
      </c>
      <c r="N415" s="19">
        <f t="shared" si="144"/>
        <v>1059.2000000000003</v>
      </c>
      <c r="O415" s="19">
        <f t="shared" si="144"/>
        <v>1801.6</v>
      </c>
      <c r="P415" s="19">
        <f t="shared" si="144"/>
        <v>1255.0999999999999</v>
      </c>
      <c r="Q415" s="19">
        <f t="shared" si="144"/>
        <v>759.5</v>
      </c>
      <c r="R415" s="19">
        <f t="shared" si="144"/>
        <v>474.2</v>
      </c>
      <c r="S415" s="36"/>
      <c r="T415" s="36"/>
      <c r="U415" s="36"/>
      <c r="V415" s="36"/>
      <c r="W415" s="2"/>
      <c r="X415" s="2"/>
    </row>
    <row r="416" spans="1:24" ht="38.1" customHeight="1" x14ac:dyDescent="0.25">
      <c r="A416" s="21"/>
      <c r="B416" s="301"/>
      <c r="C416" s="303"/>
      <c r="D416" s="17" t="s">
        <v>17</v>
      </c>
      <c r="E416" s="18">
        <f t="shared" si="140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36"/>
      <c r="T416" s="36"/>
      <c r="U416" s="36"/>
      <c r="V416" s="36"/>
      <c r="W416" s="2"/>
      <c r="X416" s="2"/>
    </row>
    <row r="417" spans="1:55" ht="32.1" customHeight="1" x14ac:dyDescent="0.25">
      <c r="A417" s="393"/>
      <c r="B417" s="301"/>
      <c r="C417" s="303"/>
      <c r="D417" s="17" t="s">
        <v>18</v>
      </c>
      <c r="E417" s="18">
        <f t="shared" si="140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0</v>
      </c>
      <c r="R417" s="19">
        <v>0</v>
      </c>
      <c r="S417" s="36"/>
      <c r="T417" s="36"/>
      <c r="U417" s="36"/>
      <c r="V417" s="36"/>
      <c r="W417" s="2"/>
      <c r="X417" s="2"/>
    </row>
    <row r="418" spans="1:55" ht="32.1" customHeight="1" x14ac:dyDescent="0.25">
      <c r="A418" s="393"/>
      <c r="B418" s="301"/>
      <c r="C418" s="303"/>
      <c r="D418" s="17" t="s">
        <v>19</v>
      </c>
      <c r="E418" s="18">
        <f>SUM(F418:R418)</f>
        <v>6375.5</v>
      </c>
      <c r="F418" s="19"/>
      <c r="G418" s="19">
        <v>0</v>
      </c>
      <c r="H418" s="19">
        <v>0</v>
      </c>
      <c r="I418" s="19">
        <v>0</v>
      </c>
      <c r="J418" s="19">
        <v>0</v>
      </c>
      <c r="K418" s="19">
        <v>537.79999999999995</v>
      </c>
      <c r="L418" s="19">
        <f>334.8+52.2-17-117.2-0.1</f>
        <v>252.70000000000002</v>
      </c>
      <c r="M418" s="19">
        <f>234.4-75.5+63.5+13</f>
        <v>235.4</v>
      </c>
      <c r="N418" s="19">
        <f>189.4+1050-180.1-0.1</f>
        <v>1059.2000000000003</v>
      </c>
      <c r="O418" s="19">
        <f>701.6+1100</f>
        <v>1801.6</v>
      </c>
      <c r="P418" s="16">
        <f>1255+0.1</f>
        <v>1255.0999999999999</v>
      </c>
      <c r="Q418" s="19">
        <f>759.5</f>
        <v>759.5</v>
      </c>
      <c r="R418" s="19">
        <f>474.2</f>
        <v>474.2</v>
      </c>
      <c r="S418" s="36"/>
      <c r="T418" s="36"/>
      <c r="U418" s="36"/>
      <c r="V418" s="36"/>
      <c r="W418" s="2"/>
      <c r="X418" s="2"/>
    </row>
    <row r="419" spans="1:55" ht="52.35" customHeight="1" x14ac:dyDescent="0.25">
      <c r="A419" s="22"/>
      <c r="B419" s="156"/>
      <c r="C419" s="304"/>
      <c r="D419" s="17" t="s">
        <v>21</v>
      </c>
      <c r="E419" s="18">
        <f>SUM(F419:R419)</f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36"/>
      <c r="T419" s="36"/>
      <c r="U419" s="36"/>
      <c r="V419" s="36"/>
      <c r="W419" s="2"/>
      <c r="X419" s="2"/>
    </row>
    <row r="420" spans="1:55" ht="17.25" hidden="1" customHeight="1" x14ac:dyDescent="0.25">
      <c r="A420" s="306" t="s">
        <v>97</v>
      </c>
      <c r="B420" s="407" t="s">
        <v>98</v>
      </c>
      <c r="C420" s="57"/>
      <c r="D420" s="23" t="s">
        <v>4</v>
      </c>
      <c r="E420" s="24">
        <f t="shared" ref="E420:E429" si="145">SUM(F420:L420)</f>
        <v>0</v>
      </c>
      <c r="F420" s="19">
        <f>SUM(F421:F423)</f>
        <v>0</v>
      </c>
      <c r="G420" s="19">
        <f t="shared" ref="G420:L420" si="146">SUM(G421:G423)</f>
        <v>0</v>
      </c>
      <c r="H420" s="19">
        <f t="shared" si="146"/>
        <v>0</v>
      </c>
      <c r="I420" s="19">
        <f t="shared" si="146"/>
        <v>0</v>
      </c>
      <c r="J420" s="19">
        <f t="shared" si="146"/>
        <v>0</v>
      </c>
      <c r="K420" s="19">
        <f t="shared" si="146"/>
        <v>0</v>
      </c>
      <c r="L420" s="19">
        <f t="shared" si="146"/>
        <v>0</v>
      </c>
      <c r="M420" s="19">
        <f>SUM(M421:M423)</f>
        <v>0</v>
      </c>
      <c r="N420" s="19"/>
      <c r="O420" s="19"/>
      <c r="P420" s="19"/>
      <c r="Q420" s="19"/>
      <c r="R420" s="19"/>
      <c r="S420" s="36"/>
      <c r="T420" s="36"/>
      <c r="U420" s="36"/>
      <c r="V420" s="36"/>
      <c r="W420" s="2"/>
      <c r="X420" s="2"/>
    </row>
    <row r="421" spans="1:55" ht="15.75" hidden="1" customHeight="1" x14ac:dyDescent="0.25">
      <c r="A421" s="406"/>
      <c r="B421" s="408"/>
      <c r="C421" s="58"/>
      <c r="D421" s="17" t="s">
        <v>45</v>
      </c>
      <c r="E421" s="18">
        <f t="shared" si="145"/>
        <v>0</v>
      </c>
      <c r="F421" s="19">
        <v>0</v>
      </c>
      <c r="G421" s="19">
        <v>0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  <c r="N421" s="19"/>
      <c r="O421" s="19"/>
      <c r="P421" s="19"/>
      <c r="Q421" s="19"/>
      <c r="R421" s="19"/>
      <c r="S421" s="36"/>
      <c r="T421" s="36"/>
      <c r="U421" s="36"/>
      <c r="V421" s="36"/>
      <c r="W421" s="2"/>
      <c r="X421" s="2"/>
    </row>
    <row r="422" spans="1:55" ht="15.75" hidden="1" customHeight="1" x14ac:dyDescent="0.25">
      <c r="A422" s="406"/>
      <c r="B422" s="408"/>
      <c r="C422" s="58"/>
      <c r="D422" s="17" t="s">
        <v>46</v>
      </c>
      <c r="E422" s="18">
        <f t="shared" si="145"/>
        <v>0</v>
      </c>
      <c r="F422" s="19">
        <v>0</v>
      </c>
      <c r="G422" s="19">
        <v>0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  <c r="N422" s="19"/>
      <c r="O422" s="19"/>
      <c r="P422" s="19"/>
      <c r="Q422" s="19"/>
      <c r="R422" s="19"/>
      <c r="S422" s="36"/>
      <c r="T422" s="36"/>
      <c r="U422" s="36"/>
      <c r="V422" s="36"/>
      <c r="W422" s="2"/>
      <c r="X422" s="2"/>
    </row>
    <row r="423" spans="1:55" ht="15.75" hidden="1" customHeight="1" x14ac:dyDescent="0.25">
      <c r="A423" s="406"/>
      <c r="B423" s="408"/>
      <c r="C423" s="58"/>
      <c r="D423" s="17" t="s">
        <v>47</v>
      </c>
      <c r="E423" s="18">
        <f t="shared" si="145"/>
        <v>0</v>
      </c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36"/>
      <c r="T423" s="36"/>
      <c r="U423" s="36"/>
      <c r="V423" s="36"/>
      <c r="W423" s="2"/>
      <c r="X423" s="2"/>
    </row>
    <row r="424" spans="1:55" ht="34.5" hidden="1" customHeight="1" x14ac:dyDescent="0.25">
      <c r="A424" s="134"/>
      <c r="B424" s="135"/>
      <c r="C424" s="58"/>
      <c r="D424" s="17" t="s">
        <v>48</v>
      </c>
      <c r="E424" s="18">
        <f t="shared" si="145"/>
        <v>0</v>
      </c>
      <c r="F424" s="19"/>
      <c r="G424" s="19">
        <v>0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/>
      <c r="O424" s="19"/>
      <c r="P424" s="19"/>
      <c r="Q424" s="19"/>
      <c r="R424" s="19"/>
      <c r="S424" s="36"/>
      <c r="T424" s="36"/>
      <c r="U424" s="36"/>
      <c r="V424" s="36"/>
      <c r="W424" s="2"/>
      <c r="X424" s="2"/>
    </row>
    <row r="425" spans="1:55" ht="19.149999999999999" hidden="1" customHeight="1" x14ac:dyDescent="0.25">
      <c r="A425" s="321" t="s">
        <v>99</v>
      </c>
      <c r="B425" s="312" t="s">
        <v>63</v>
      </c>
      <c r="C425" s="287" t="s">
        <v>100</v>
      </c>
      <c r="D425" s="17" t="s">
        <v>29</v>
      </c>
      <c r="E425" s="18">
        <f t="shared" si="145"/>
        <v>0</v>
      </c>
      <c r="F425" s="19">
        <f>SUM(F426:F428)</f>
        <v>0</v>
      </c>
      <c r="G425" s="19">
        <f t="shared" ref="G425:L425" si="147">SUM(G426:G428)</f>
        <v>0</v>
      </c>
      <c r="H425" s="19">
        <f t="shared" si="147"/>
        <v>0</v>
      </c>
      <c r="I425" s="19">
        <f t="shared" si="147"/>
        <v>0</v>
      </c>
      <c r="J425" s="19">
        <f t="shared" si="147"/>
        <v>0</v>
      </c>
      <c r="K425" s="19">
        <f t="shared" si="147"/>
        <v>0</v>
      </c>
      <c r="L425" s="19">
        <f t="shared" si="147"/>
        <v>0</v>
      </c>
      <c r="M425" s="19">
        <f>SUM(M426:M428)</f>
        <v>0</v>
      </c>
      <c r="N425" s="19"/>
      <c r="O425" s="19"/>
      <c r="P425" s="19"/>
      <c r="Q425" s="19"/>
      <c r="R425" s="19"/>
      <c r="S425" s="36"/>
      <c r="T425" s="36"/>
      <c r="U425" s="36"/>
      <c r="V425" s="36"/>
      <c r="W425" s="2"/>
      <c r="X425" s="2"/>
    </row>
    <row r="426" spans="1:55" ht="15.75" hidden="1" customHeight="1" x14ac:dyDescent="0.25">
      <c r="A426" s="305"/>
      <c r="B426" s="307"/>
      <c r="C426" s="288"/>
      <c r="D426" s="17" t="s">
        <v>17</v>
      </c>
      <c r="E426" s="18">
        <f t="shared" si="145"/>
        <v>0</v>
      </c>
      <c r="F426" s="19">
        <v>0</v>
      </c>
      <c r="G426" s="19">
        <v>0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  <c r="N426" s="19"/>
      <c r="O426" s="19"/>
      <c r="P426" s="19"/>
      <c r="Q426" s="19"/>
      <c r="R426" s="19"/>
      <c r="S426" s="36"/>
      <c r="T426" s="36"/>
      <c r="U426" s="36"/>
      <c r="V426" s="36"/>
      <c r="W426" s="2"/>
      <c r="X426" s="2"/>
    </row>
    <row r="427" spans="1:55" ht="15.75" hidden="1" customHeight="1" x14ac:dyDescent="0.25">
      <c r="A427" s="305"/>
      <c r="B427" s="307"/>
      <c r="C427" s="288"/>
      <c r="D427" s="17" t="s">
        <v>18</v>
      </c>
      <c r="E427" s="18">
        <f t="shared" si="145"/>
        <v>0</v>
      </c>
      <c r="F427" s="19">
        <v>0</v>
      </c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/>
      <c r="O427" s="19"/>
      <c r="P427" s="19"/>
      <c r="Q427" s="19"/>
      <c r="R427" s="19"/>
      <c r="S427" s="36"/>
      <c r="T427" s="36"/>
      <c r="U427" s="36"/>
      <c r="V427" s="36"/>
      <c r="W427" s="2"/>
      <c r="X427" s="2"/>
    </row>
    <row r="428" spans="1:55" ht="15.75" hidden="1" customHeight="1" x14ac:dyDescent="0.25">
      <c r="A428" s="305"/>
      <c r="B428" s="307"/>
      <c r="C428" s="288"/>
      <c r="D428" s="17" t="s">
        <v>19</v>
      </c>
      <c r="E428" s="18">
        <f t="shared" si="145"/>
        <v>0</v>
      </c>
      <c r="F428" s="19">
        <v>0</v>
      </c>
      <c r="G428" s="19">
        <v>0</v>
      </c>
      <c r="H428" s="19">
        <v>0</v>
      </c>
      <c r="I428" s="19">
        <v>0</v>
      </c>
      <c r="J428" s="19"/>
      <c r="K428" s="19">
        <v>0</v>
      </c>
      <c r="L428" s="19">
        <v>0</v>
      </c>
      <c r="M428" s="19">
        <v>0</v>
      </c>
      <c r="N428" s="19"/>
      <c r="O428" s="19"/>
      <c r="P428" s="19"/>
      <c r="Q428" s="19"/>
      <c r="R428" s="19"/>
      <c r="S428" s="36"/>
      <c r="T428" s="36"/>
      <c r="U428" s="36"/>
      <c r="V428" s="36"/>
      <c r="W428" s="2"/>
      <c r="X428" s="2"/>
    </row>
    <row r="429" spans="1:55" ht="7.5" hidden="1" customHeight="1" x14ac:dyDescent="0.25">
      <c r="A429" s="320"/>
      <c r="B429" s="307"/>
      <c r="C429" s="289"/>
      <c r="D429" s="17" t="s">
        <v>21</v>
      </c>
      <c r="E429" s="18">
        <f t="shared" si="145"/>
        <v>0</v>
      </c>
      <c r="F429" s="19"/>
      <c r="G429" s="19">
        <v>0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  <c r="N429" s="19"/>
      <c r="O429" s="19"/>
      <c r="P429" s="19"/>
      <c r="Q429" s="19"/>
      <c r="R429" s="19"/>
      <c r="S429" s="36"/>
      <c r="T429" s="36"/>
      <c r="U429" s="36"/>
      <c r="V429" s="36"/>
      <c r="W429" s="2"/>
      <c r="X429" s="2"/>
    </row>
    <row r="430" spans="1:55" ht="41.25" customHeight="1" x14ac:dyDescent="0.25">
      <c r="A430" s="137" t="s">
        <v>101</v>
      </c>
      <c r="B430" s="394" t="s">
        <v>152</v>
      </c>
      <c r="C430" s="392" t="s">
        <v>102</v>
      </c>
      <c r="D430" s="14" t="s">
        <v>4</v>
      </c>
      <c r="E430" s="59">
        <f>SUM(G430:R430)</f>
        <v>1319519.8</v>
      </c>
      <c r="F430" s="16">
        <f>SUM(F431:F433)</f>
        <v>0</v>
      </c>
      <c r="G430" s="16">
        <f t="shared" ref="G430:L430" si="148">SUM(G431:G433)</f>
        <v>62723.8</v>
      </c>
      <c r="H430" s="16">
        <f t="shared" si="148"/>
        <v>67226.7</v>
      </c>
      <c r="I430" s="16">
        <f t="shared" si="148"/>
        <v>68559.900000000009</v>
      </c>
      <c r="J430" s="16">
        <f t="shared" si="148"/>
        <v>71412.5</v>
      </c>
      <c r="K430" s="16">
        <f t="shared" si="148"/>
        <v>82842.099999999991</v>
      </c>
      <c r="L430" s="16">
        <f t="shared" si="148"/>
        <v>100753.7</v>
      </c>
      <c r="M430" s="16">
        <f>M431+M432+M433+M435</f>
        <v>114579.30000000002</v>
      </c>
      <c r="N430" s="16">
        <f>SUM(N431:N433)</f>
        <v>119499.09999999999</v>
      </c>
      <c r="O430" s="16">
        <f>SUM(O431:O433)</f>
        <v>138030.9</v>
      </c>
      <c r="P430" s="16">
        <f>SUM(P431:P433)</f>
        <v>162488.19999999998</v>
      </c>
      <c r="Q430" s="16">
        <f>SUM(Q431:Q433)</f>
        <v>162188.5</v>
      </c>
      <c r="R430" s="16">
        <f>SUM(R431:R433)</f>
        <v>169215.1</v>
      </c>
      <c r="S430" s="82"/>
      <c r="T430" s="82"/>
      <c r="U430" s="82"/>
      <c r="V430" s="82"/>
      <c r="W430" s="2"/>
      <c r="X430" s="2"/>
      <c r="BC430" s="2"/>
    </row>
    <row r="431" spans="1:55" ht="33.4" customHeight="1" x14ac:dyDescent="0.25">
      <c r="A431" s="106"/>
      <c r="B431" s="361"/>
      <c r="C431" s="303"/>
      <c r="D431" s="17" t="s">
        <v>17</v>
      </c>
      <c r="E431" s="18">
        <f>SUM(F431:R431)</f>
        <v>0</v>
      </c>
      <c r="F431" s="19">
        <f>F473</f>
        <v>0</v>
      </c>
      <c r="G431" s="19">
        <f t="shared" ref="G431:Q432" si="149">G473</f>
        <v>0</v>
      </c>
      <c r="H431" s="19">
        <f t="shared" si="149"/>
        <v>0</v>
      </c>
      <c r="I431" s="19">
        <f t="shared" si="149"/>
        <v>0</v>
      </c>
      <c r="J431" s="19">
        <f t="shared" si="149"/>
        <v>0</v>
      </c>
      <c r="K431" s="19">
        <f t="shared" si="149"/>
        <v>0</v>
      </c>
      <c r="L431" s="19">
        <f t="shared" si="149"/>
        <v>0</v>
      </c>
      <c r="M431" s="19">
        <f t="shared" si="149"/>
        <v>0</v>
      </c>
      <c r="N431" s="19">
        <f t="shared" si="149"/>
        <v>0</v>
      </c>
      <c r="O431" s="19">
        <f t="shared" si="149"/>
        <v>0</v>
      </c>
      <c r="P431" s="19">
        <f t="shared" si="149"/>
        <v>0</v>
      </c>
      <c r="Q431" s="19">
        <f t="shared" si="149"/>
        <v>0</v>
      </c>
      <c r="R431" s="19">
        <f>R473</f>
        <v>0</v>
      </c>
      <c r="S431" s="36"/>
      <c r="T431" s="36"/>
      <c r="U431" s="36"/>
      <c r="V431" s="36"/>
      <c r="W431" s="2"/>
      <c r="X431" s="2"/>
    </row>
    <row r="432" spans="1:55" ht="38.1" customHeight="1" x14ac:dyDescent="0.25">
      <c r="A432" s="106"/>
      <c r="B432" s="361"/>
      <c r="C432" s="303"/>
      <c r="D432" s="17" t="s">
        <v>18</v>
      </c>
      <c r="E432" s="18">
        <f t="shared" ref="E432:E454" si="150">SUM(F432:R432)</f>
        <v>0</v>
      </c>
      <c r="F432" s="19">
        <f>F474</f>
        <v>0</v>
      </c>
      <c r="G432" s="19">
        <f t="shared" si="149"/>
        <v>0</v>
      </c>
      <c r="H432" s="19">
        <f t="shared" si="149"/>
        <v>0</v>
      </c>
      <c r="I432" s="19">
        <f t="shared" si="149"/>
        <v>0</v>
      </c>
      <c r="J432" s="19">
        <f t="shared" si="149"/>
        <v>0</v>
      </c>
      <c r="K432" s="19">
        <f t="shared" si="149"/>
        <v>0</v>
      </c>
      <c r="L432" s="19">
        <f t="shared" si="149"/>
        <v>0</v>
      </c>
      <c r="M432" s="19">
        <f t="shared" si="149"/>
        <v>0</v>
      </c>
      <c r="N432" s="19">
        <f t="shared" si="149"/>
        <v>0</v>
      </c>
      <c r="O432" s="19">
        <f t="shared" si="149"/>
        <v>0</v>
      </c>
      <c r="P432" s="19">
        <f t="shared" si="149"/>
        <v>0</v>
      </c>
      <c r="Q432" s="19">
        <f t="shared" si="149"/>
        <v>0</v>
      </c>
      <c r="R432" s="19">
        <f>R474</f>
        <v>0</v>
      </c>
      <c r="S432" s="36"/>
      <c r="T432" s="36"/>
      <c r="U432" s="36"/>
      <c r="V432" s="36"/>
      <c r="W432" s="2"/>
      <c r="X432" s="2"/>
    </row>
    <row r="433" spans="1:55" ht="38.85" customHeight="1" x14ac:dyDescent="0.25">
      <c r="A433" s="106"/>
      <c r="B433" s="361"/>
      <c r="C433" s="303"/>
      <c r="D433" s="17" t="s">
        <v>19</v>
      </c>
      <c r="E433" s="18">
        <f t="shared" si="150"/>
        <v>1319519.8</v>
      </c>
      <c r="F433" s="19">
        <f>F442+F449+F455+F475+F477</f>
        <v>0</v>
      </c>
      <c r="G433" s="19">
        <f>G442+G449+G455+G475+G480</f>
        <v>62723.8</v>
      </c>
      <c r="H433" s="19">
        <f>H442+H449+H455+H475+H480</f>
        <v>67226.7</v>
      </c>
      <c r="I433" s="19">
        <f>I442+I449+I455+I475+I480</f>
        <v>68559.900000000009</v>
      </c>
      <c r="J433" s="19">
        <f>J445+J452+J475+J480</f>
        <v>71412.5</v>
      </c>
      <c r="K433" s="19">
        <f>K445+K452+K475+K480</f>
        <v>82842.099999999991</v>
      </c>
      <c r="L433" s="19">
        <f>L445+L452+L475+L480</f>
        <v>100753.7</v>
      </c>
      <c r="M433" s="19">
        <f t="shared" ref="M433:R433" si="151">M445+M452+M475+M480+M485</f>
        <v>114579.30000000002</v>
      </c>
      <c r="N433" s="19">
        <f t="shared" si="151"/>
        <v>119499.09999999999</v>
      </c>
      <c r="O433" s="19">
        <f t="shared" si="151"/>
        <v>138030.9</v>
      </c>
      <c r="P433" s="19">
        <f t="shared" si="151"/>
        <v>162488.19999999998</v>
      </c>
      <c r="Q433" s="19">
        <f t="shared" si="151"/>
        <v>162188.5</v>
      </c>
      <c r="R433" s="19">
        <f t="shared" si="151"/>
        <v>169215.1</v>
      </c>
      <c r="S433" s="36"/>
      <c r="T433" s="36"/>
      <c r="U433" s="36"/>
      <c r="V433" s="36"/>
      <c r="W433" s="2"/>
      <c r="X433" s="2"/>
      <c r="BC433" s="2"/>
    </row>
    <row r="434" spans="1:55" ht="64.150000000000006" customHeight="1" x14ac:dyDescent="0.25">
      <c r="A434" s="106"/>
      <c r="B434" s="151"/>
      <c r="C434" s="303"/>
      <c r="D434" s="17" t="s">
        <v>20</v>
      </c>
      <c r="E434" s="18">
        <f t="shared" si="150"/>
        <v>38.599999999999994</v>
      </c>
      <c r="F434" s="19"/>
      <c r="G434" s="19">
        <f>G446+G453</f>
        <v>38.599999999999994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36"/>
      <c r="W434" s="2"/>
      <c r="X434" s="2"/>
    </row>
    <row r="435" spans="1:55" ht="36" customHeight="1" x14ac:dyDescent="0.25">
      <c r="A435" s="129"/>
      <c r="B435" s="149"/>
      <c r="C435" s="304"/>
      <c r="D435" s="17" t="s">
        <v>21</v>
      </c>
      <c r="E435" s="18">
        <f t="shared" si="150"/>
        <v>0</v>
      </c>
      <c r="F435" s="19"/>
      <c r="G435" s="19">
        <f t="shared" ref="G435:L435" si="152">G447+G454+G459+G476+G481</f>
        <v>0</v>
      </c>
      <c r="H435" s="19">
        <f t="shared" si="152"/>
        <v>0</v>
      </c>
      <c r="I435" s="19">
        <f t="shared" si="152"/>
        <v>0</v>
      </c>
      <c r="J435" s="19">
        <f t="shared" si="152"/>
        <v>0</v>
      </c>
      <c r="K435" s="19">
        <f t="shared" si="152"/>
        <v>0</v>
      </c>
      <c r="L435" s="19">
        <f t="shared" si="152"/>
        <v>0</v>
      </c>
      <c r="M435" s="19">
        <f t="shared" ref="M435:R435" si="153">M447+M454+M459+M476+M481</f>
        <v>0</v>
      </c>
      <c r="N435" s="19">
        <f t="shared" si="153"/>
        <v>0</v>
      </c>
      <c r="O435" s="19">
        <f t="shared" si="153"/>
        <v>0</v>
      </c>
      <c r="P435" s="19">
        <f t="shared" si="153"/>
        <v>0</v>
      </c>
      <c r="Q435" s="19">
        <f t="shared" si="153"/>
        <v>0</v>
      </c>
      <c r="R435" s="19">
        <f t="shared" si="153"/>
        <v>0</v>
      </c>
      <c r="S435" s="36"/>
      <c r="T435" s="36"/>
      <c r="U435" s="36"/>
      <c r="V435" s="36"/>
      <c r="W435" s="2"/>
      <c r="X435" s="2"/>
    </row>
    <row r="436" spans="1:55" ht="30.75" customHeight="1" x14ac:dyDescent="0.25">
      <c r="A436" s="138" t="s">
        <v>103</v>
      </c>
      <c r="B436" s="60" t="s">
        <v>104</v>
      </c>
      <c r="C436" s="56"/>
      <c r="D436" s="14" t="s">
        <v>4</v>
      </c>
      <c r="E436" s="15">
        <f>SUM(G436:Q436)</f>
        <v>1106994.5</v>
      </c>
      <c r="F436" s="16"/>
      <c r="G436" s="16">
        <f t="shared" ref="G436:L436" si="154">G442+G449</f>
        <v>62723.8</v>
      </c>
      <c r="H436" s="16">
        <f t="shared" si="154"/>
        <v>64890.400000000001</v>
      </c>
      <c r="I436" s="16">
        <f t="shared" si="154"/>
        <v>66924.600000000006</v>
      </c>
      <c r="J436" s="16">
        <f t="shared" si="154"/>
        <v>69411.899999999994</v>
      </c>
      <c r="K436" s="16">
        <f t="shared" si="154"/>
        <v>80351.399999999994</v>
      </c>
      <c r="L436" s="16">
        <f t="shared" si="154"/>
        <v>97487</v>
      </c>
      <c r="M436" s="16">
        <f t="shared" ref="M436:R436" si="155">M442+M449</f>
        <v>110843.1</v>
      </c>
      <c r="N436" s="16">
        <f t="shared" si="155"/>
        <v>113815.09999999999</v>
      </c>
      <c r="O436" s="16">
        <f t="shared" si="155"/>
        <v>130107.6</v>
      </c>
      <c r="P436" s="16">
        <f t="shared" si="155"/>
        <v>156510.29999999999</v>
      </c>
      <c r="Q436" s="16">
        <f t="shared" si="155"/>
        <v>153929.29999999999</v>
      </c>
      <c r="R436" s="16">
        <f t="shared" si="155"/>
        <v>161426.70000000001</v>
      </c>
      <c r="S436" s="82"/>
      <c r="T436" s="82"/>
      <c r="U436" s="82"/>
      <c r="V436" s="82"/>
      <c r="W436" s="2"/>
      <c r="X436" s="2"/>
    </row>
    <row r="437" spans="1:55" ht="34.9" customHeight="1" x14ac:dyDescent="0.25">
      <c r="A437" s="115"/>
      <c r="B437" s="123"/>
      <c r="C437" s="38"/>
      <c r="D437" s="17" t="s">
        <v>17</v>
      </c>
      <c r="E437" s="18">
        <f t="shared" si="150"/>
        <v>0</v>
      </c>
      <c r="F437" s="16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36"/>
      <c r="W437" s="2"/>
      <c r="X437" s="2"/>
    </row>
    <row r="438" spans="1:55" ht="35.65" customHeight="1" x14ac:dyDescent="0.25">
      <c r="A438" s="115"/>
      <c r="B438" s="123"/>
      <c r="C438" s="38"/>
      <c r="D438" s="17" t="s">
        <v>18</v>
      </c>
      <c r="E438" s="18">
        <f t="shared" si="150"/>
        <v>0</v>
      </c>
      <c r="F438" s="16"/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36"/>
      <c r="T438" s="36"/>
      <c r="U438" s="36"/>
      <c r="V438" s="36"/>
      <c r="W438" s="2"/>
      <c r="X438" s="2"/>
    </row>
    <row r="439" spans="1:55" ht="34.15" customHeight="1" x14ac:dyDescent="0.25">
      <c r="A439" s="115"/>
      <c r="B439" s="123"/>
      <c r="C439" s="42"/>
      <c r="D439" s="17" t="s">
        <v>19</v>
      </c>
      <c r="E439" s="18">
        <f t="shared" si="150"/>
        <v>1268421.2</v>
      </c>
      <c r="F439" s="16"/>
      <c r="G439" s="19">
        <f t="shared" ref="G439:Q440" si="156">G445+G452</f>
        <v>62723.8</v>
      </c>
      <c r="H439" s="19">
        <f t="shared" si="156"/>
        <v>64890.400000000001</v>
      </c>
      <c r="I439" s="19">
        <f t="shared" si="156"/>
        <v>66924.600000000006</v>
      </c>
      <c r="J439" s="19">
        <f t="shared" si="156"/>
        <v>69411.899999999994</v>
      </c>
      <c r="K439" s="19">
        <f t="shared" si="156"/>
        <v>80351.399999999994</v>
      </c>
      <c r="L439" s="19">
        <f t="shared" si="156"/>
        <v>97487</v>
      </c>
      <c r="M439" s="19">
        <f t="shared" si="156"/>
        <v>110843.1</v>
      </c>
      <c r="N439" s="19">
        <f t="shared" si="156"/>
        <v>113815.09999999999</v>
      </c>
      <c r="O439" s="19">
        <f t="shared" si="156"/>
        <v>130107.6</v>
      </c>
      <c r="P439" s="19">
        <f t="shared" si="156"/>
        <v>156510.29999999999</v>
      </c>
      <c r="Q439" s="19">
        <f t="shared" si="156"/>
        <v>153929.29999999999</v>
      </c>
      <c r="R439" s="19">
        <f>R445+R452</f>
        <v>161426.70000000001</v>
      </c>
      <c r="S439" s="36"/>
      <c r="T439" s="36"/>
      <c r="U439" s="36"/>
      <c r="V439" s="36"/>
      <c r="W439" s="2"/>
      <c r="X439" s="2"/>
    </row>
    <row r="440" spans="1:55" ht="76.900000000000006" customHeight="1" x14ac:dyDescent="0.25">
      <c r="A440" s="115"/>
      <c r="B440" s="123"/>
      <c r="C440" s="42"/>
      <c r="D440" s="23" t="s">
        <v>20</v>
      </c>
      <c r="E440" s="18">
        <f t="shared" si="150"/>
        <v>38.599999999999994</v>
      </c>
      <c r="F440" s="41"/>
      <c r="G440" s="25">
        <f t="shared" si="156"/>
        <v>38.599999999999994</v>
      </c>
      <c r="H440" s="25">
        <f t="shared" si="156"/>
        <v>0</v>
      </c>
      <c r="I440" s="25">
        <f t="shared" si="156"/>
        <v>0</v>
      </c>
      <c r="J440" s="25">
        <f t="shared" si="156"/>
        <v>0</v>
      </c>
      <c r="K440" s="25">
        <f t="shared" si="156"/>
        <v>0</v>
      </c>
      <c r="L440" s="25">
        <f t="shared" si="156"/>
        <v>0</v>
      </c>
      <c r="M440" s="25">
        <f t="shared" si="156"/>
        <v>0</v>
      </c>
      <c r="N440" s="25">
        <f t="shared" si="156"/>
        <v>0</v>
      </c>
      <c r="O440" s="25">
        <f t="shared" si="156"/>
        <v>0</v>
      </c>
      <c r="P440" s="25">
        <f t="shared" si="156"/>
        <v>0</v>
      </c>
      <c r="Q440" s="25">
        <f t="shared" si="156"/>
        <v>0</v>
      </c>
      <c r="R440" s="25">
        <f>R446+R453</f>
        <v>0</v>
      </c>
      <c r="S440" s="36"/>
      <c r="T440" s="36"/>
      <c r="U440" s="36"/>
      <c r="V440" s="36"/>
      <c r="W440" s="2"/>
      <c r="X440" s="2"/>
    </row>
    <row r="441" spans="1:55" ht="28.5" customHeight="1" x14ac:dyDescent="0.25">
      <c r="A441" s="139"/>
      <c r="B441" s="154"/>
      <c r="C441" s="38"/>
      <c r="D441" s="17" t="s">
        <v>21</v>
      </c>
      <c r="E441" s="18">
        <f t="shared" si="150"/>
        <v>0</v>
      </c>
      <c r="F441" s="41"/>
      <c r="G441" s="25">
        <v>0</v>
      </c>
      <c r="H441" s="25">
        <v>0</v>
      </c>
      <c r="I441" s="25">
        <v>0</v>
      </c>
      <c r="J441" s="25">
        <v>0</v>
      </c>
      <c r="K441" s="25">
        <v>0</v>
      </c>
      <c r="L441" s="25">
        <v>0</v>
      </c>
      <c r="M441" s="25">
        <v>0</v>
      </c>
      <c r="N441" s="25">
        <v>0</v>
      </c>
      <c r="O441" s="25">
        <v>0</v>
      </c>
      <c r="P441" s="25">
        <v>0</v>
      </c>
      <c r="Q441" s="25">
        <v>0</v>
      </c>
      <c r="R441" s="25">
        <v>0</v>
      </c>
      <c r="S441" s="36"/>
      <c r="T441" s="36"/>
      <c r="U441" s="36"/>
      <c r="V441" s="36"/>
      <c r="W441" s="2"/>
      <c r="X441" s="2"/>
    </row>
    <row r="442" spans="1:55" ht="35.65" customHeight="1" x14ac:dyDescent="0.25">
      <c r="A442" s="266" t="s">
        <v>105</v>
      </c>
      <c r="B442" s="326" t="s">
        <v>106</v>
      </c>
      <c r="C442" s="302" t="s">
        <v>80</v>
      </c>
      <c r="D442" s="17" t="s">
        <v>29</v>
      </c>
      <c r="E442" s="18">
        <f t="shared" si="150"/>
        <v>399699.60000000003</v>
      </c>
      <c r="F442" s="19"/>
      <c r="G442" s="19">
        <f t="shared" ref="G442:L442" si="157">G445</f>
        <v>20233.3</v>
      </c>
      <c r="H442" s="19">
        <f t="shared" si="157"/>
        <v>20012.599999999999</v>
      </c>
      <c r="I442" s="19">
        <f t="shared" si="157"/>
        <v>20236</v>
      </c>
      <c r="J442" s="19">
        <f t="shared" si="157"/>
        <v>21467.200000000001</v>
      </c>
      <c r="K442" s="19">
        <f t="shared" si="157"/>
        <v>25212.6</v>
      </c>
      <c r="L442" s="19">
        <f t="shared" si="157"/>
        <v>29593.7</v>
      </c>
      <c r="M442" s="19">
        <f t="shared" ref="M442:R442" si="158">M445</f>
        <v>36492.300000000003</v>
      </c>
      <c r="N442" s="19">
        <f t="shared" si="158"/>
        <v>38308.5</v>
      </c>
      <c r="O442" s="19">
        <f t="shared" si="158"/>
        <v>41151.599999999999</v>
      </c>
      <c r="P442" s="19">
        <f t="shared" si="158"/>
        <v>48059.5</v>
      </c>
      <c r="Q442" s="19">
        <f t="shared" si="158"/>
        <v>47609.8</v>
      </c>
      <c r="R442" s="19">
        <f t="shared" si="158"/>
        <v>51322.5</v>
      </c>
      <c r="S442" s="36"/>
      <c r="T442" s="36"/>
      <c r="U442" s="36"/>
      <c r="V442" s="36"/>
      <c r="W442" s="2"/>
      <c r="X442" s="2"/>
    </row>
    <row r="443" spans="1:55" ht="44.65" customHeight="1" x14ac:dyDescent="0.25">
      <c r="A443" s="265"/>
      <c r="B443" s="405"/>
      <c r="C443" s="340"/>
      <c r="D443" s="17" t="s">
        <v>17</v>
      </c>
      <c r="E443" s="18">
        <f t="shared" si="150"/>
        <v>0</v>
      </c>
      <c r="F443" s="19"/>
      <c r="G443" s="19">
        <v>0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36"/>
      <c r="W443" s="2"/>
      <c r="X443" s="2"/>
    </row>
    <row r="444" spans="1:55" ht="36" customHeight="1" x14ac:dyDescent="0.25">
      <c r="A444" s="265"/>
      <c r="B444" s="405"/>
      <c r="C444" s="340"/>
      <c r="D444" s="17" t="s">
        <v>18</v>
      </c>
      <c r="E444" s="18">
        <f t="shared" si="150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36"/>
      <c r="W444" s="2"/>
      <c r="X444" s="2"/>
    </row>
    <row r="445" spans="1:55" ht="38.1" customHeight="1" x14ac:dyDescent="0.25">
      <c r="A445" s="115"/>
      <c r="B445" s="124"/>
      <c r="C445" s="340"/>
      <c r="D445" s="17" t="s">
        <v>19</v>
      </c>
      <c r="E445" s="18">
        <f t="shared" si="150"/>
        <v>399699.60000000003</v>
      </c>
      <c r="F445" s="19"/>
      <c r="G445" s="19">
        <f>19861.2+555.3-183.2</f>
        <v>20233.3</v>
      </c>
      <c r="H445" s="19">
        <f>20346.3-246-87.7</f>
        <v>20012.599999999999</v>
      </c>
      <c r="I445" s="19">
        <f>20236.8-0.8</f>
        <v>20236</v>
      </c>
      <c r="J445" s="19">
        <v>21467.200000000001</v>
      </c>
      <c r="K445" s="19">
        <v>25212.6</v>
      </c>
      <c r="L445" s="19">
        <f>24269.8+5118.5+205.5-0.1</f>
        <v>29593.7</v>
      </c>
      <c r="M445" s="19">
        <f>36492.3</f>
        <v>36492.300000000003</v>
      </c>
      <c r="N445" s="19">
        <f>40686.7+1394.3+300-4072.5</f>
        <v>38308.5</v>
      </c>
      <c r="O445" s="19">
        <f>39765.9+200+239.5-149.5+1095.7</f>
        <v>41151.599999999999</v>
      </c>
      <c r="P445" s="16">
        <f>44936.9+2851.6+500-229</f>
        <v>48059.5</v>
      </c>
      <c r="Q445" s="19">
        <v>47609.8</v>
      </c>
      <c r="R445" s="19">
        <f>50212.1+1110.4</f>
        <v>51322.5</v>
      </c>
      <c r="S445" s="36"/>
      <c r="T445" s="36"/>
      <c r="U445" s="36"/>
      <c r="V445" s="36"/>
      <c r="W445" s="2"/>
      <c r="X445" s="2"/>
    </row>
    <row r="446" spans="1:55" ht="80.25" customHeight="1" x14ac:dyDescent="0.25">
      <c r="A446" s="244"/>
      <c r="B446" s="240"/>
      <c r="C446" s="340"/>
      <c r="D446" s="17" t="s">
        <v>20</v>
      </c>
      <c r="E446" s="18">
        <f t="shared" si="150"/>
        <v>1.3</v>
      </c>
      <c r="F446" s="19"/>
      <c r="G446" s="19">
        <v>1.3</v>
      </c>
      <c r="H446" s="19">
        <f t="shared" ref="H446:Q446" si="159">H453+H459</f>
        <v>0</v>
      </c>
      <c r="I446" s="19">
        <f t="shared" si="159"/>
        <v>0</v>
      </c>
      <c r="J446" s="19">
        <f t="shared" si="159"/>
        <v>0</v>
      </c>
      <c r="K446" s="19">
        <f t="shared" si="159"/>
        <v>0</v>
      </c>
      <c r="L446" s="19">
        <f t="shared" si="159"/>
        <v>0</v>
      </c>
      <c r="M446" s="19">
        <f t="shared" si="159"/>
        <v>0</v>
      </c>
      <c r="N446" s="19">
        <f t="shared" si="159"/>
        <v>0</v>
      </c>
      <c r="O446" s="19">
        <f t="shared" si="159"/>
        <v>0</v>
      </c>
      <c r="P446" s="19">
        <f t="shared" si="159"/>
        <v>0</v>
      </c>
      <c r="Q446" s="19">
        <f t="shared" si="159"/>
        <v>0</v>
      </c>
      <c r="R446" s="19">
        <f>R453+R459</f>
        <v>0</v>
      </c>
      <c r="S446" s="36"/>
      <c r="T446" s="36"/>
      <c r="U446" s="36"/>
      <c r="V446" s="36"/>
      <c r="W446" s="2"/>
      <c r="X446" s="2"/>
    </row>
    <row r="447" spans="1:55" ht="33.4" customHeight="1" x14ac:dyDescent="0.25">
      <c r="A447" s="129"/>
      <c r="B447" s="129"/>
      <c r="C447" s="341"/>
      <c r="D447" s="17" t="s">
        <v>21</v>
      </c>
      <c r="E447" s="18">
        <f t="shared" si="150"/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36"/>
      <c r="T447" s="36"/>
      <c r="U447" s="36"/>
      <c r="V447" s="36"/>
      <c r="W447" s="2"/>
      <c r="X447" s="2"/>
    </row>
    <row r="448" spans="1:55" ht="60.4" hidden="1" customHeight="1" x14ac:dyDescent="0.25">
      <c r="A448" s="61" t="s">
        <v>107</v>
      </c>
      <c r="B448" s="142" t="s">
        <v>108</v>
      </c>
      <c r="C448" s="125"/>
      <c r="D448" s="14" t="s">
        <v>4</v>
      </c>
      <c r="E448" s="18">
        <f>SUM(F448:M448)</f>
        <v>0</v>
      </c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82"/>
      <c r="T448" s="82"/>
      <c r="U448" s="82"/>
      <c r="V448" s="82"/>
      <c r="W448" s="2"/>
      <c r="X448" s="2"/>
    </row>
    <row r="449" spans="1:24" ht="31.7" customHeight="1" x14ac:dyDescent="0.25">
      <c r="A449" s="417" t="s">
        <v>109</v>
      </c>
      <c r="B449" s="322" t="s">
        <v>110</v>
      </c>
      <c r="C449" s="302" t="s">
        <v>75</v>
      </c>
      <c r="D449" s="17" t="s">
        <v>29</v>
      </c>
      <c r="E449" s="18">
        <f t="shared" si="150"/>
        <v>868721.6</v>
      </c>
      <c r="F449" s="19"/>
      <c r="G449" s="19">
        <f t="shared" ref="G449:L449" si="160">G452</f>
        <v>42490.500000000007</v>
      </c>
      <c r="H449" s="19">
        <f t="shared" si="160"/>
        <v>44877.8</v>
      </c>
      <c r="I449" s="19">
        <f t="shared" si="160"/>
        <v>46688.6</v>
      </c>
      <c r="J449" s="19">
        <f t="shared" si="160"/>
        <v>47944.7</v>
      </c>
      <c r="K449" s="19">
        <f t="shared" si="160"/>
        <v>55138.8</v>
      </c>
      <c r="L449" s="19">
        <f t="shared" si="160"/>
        <v>67893.3</v>
      </c>
      <c r="M449" s="19">
        <f t="shared" ref="M449:R449" si="161">M452</f>
        <v>74350.8</v>
      </c>
      <c r="N449" s="19">
        <f t="shared" si="161"/>
        <v>75506.599999999991</v>
      </c>
      <c r="O449" s="19">
        <f t="shared" si="161"/>
        <v>88956</v>
      </c>
      <c r="P449" s="19">
        <f t="shared" si="161"/>
        <v>108450.8</v>
      </c>
      <c r="Q449" s="19">
        <f t="shared" si="161"/>
        <v>106319.5</v>
      </c>
      <c r="R449" s="19">
        <f t="shared" si="161"/>
        <v>110104.2</v>
      </c>
      <c r="S449" s="36"/>
      <c r="T449" s="36"/>
      <c r="U449" s="36"/>
      <c r="V449" s="36"/>
      <c r="W449" s="2"/>
      <c r="X449" s="2"/>
    </row>
    <row r="450" spans="1:24" ht="28.15" customHeight="1" x14ac:dyDescent="0.25">
      <c r="A450" s="418"/>
      <c r="B450" s="337"/>
      <c r="C450" s="303"/>
      <c r="D450" s="17" t="s">
        <v>17</v>
      </c>
      <c r="E450" s="18">
        <f t="shared" si="150"/>
        <v>0</v>
      </c>
      <c r="F450" s="19"/>
      <c r="G450" s="19">
        <v>0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36"/>
      <c r="T450" s="36"/>
      <c r="U450" s="36"/>
      <c r="V450" s="36"/>
      <c r="W450" s="2"/>
      <c r="X450" s="2"/>
    </row>
    <row r="451" spans="1:24" ht="37.35" customHeight="1" x14ac:dyDescent="0.25">
      <c r="A451" s="418"/>
      <c r="B451" s="337"/>
      <c r="C451" s="303"/>
      <c r="D451" s="17" t="s">
        <v>18</v>
      </c>
      <c r="E451" s="18">
        <f t="shared" si="150"/>
        <v>0</v>
      </c>
      <c r="F451" s="19"/>
      <c r="G451" s="19">
        <v>0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36"/>
      <c r="T451" s="36"/>
      <c r="U451" s="36"/>
      <c r="V451" s="36"/>
      <c r="W451" s="2"/>
      <c r="X451" s="2"/>
    </row>
    <row r="452" spans="1:24" ht="30.4" customHeight="1" x14ac:dyDescent="0.25">
      <c r="A452" s="418"/>
      <c r="B452" s="337"/>
      <c r="C452" s="303"/>
      <c r="D452" s="17" t="s">
        <v>19</v>
      </c>
      <c r="E452" s="18">
        <f t="shared" si="150"/>
        <v>868721.6</v>
      </c>
      <c r="F452" s="19"/>
      <c r="G452" s="19">
        <f>43430.3-797.7-142.1-1.3+1.4-0.1</f>
        <v>42490.500000000007</v>
      </c>
      <c r="H452" s="19">
        <f>39311.5+4612.1-188.3+1124.9+115.3-97.7</f>
        <v>44877.8</v>
      </c>
      <c r="I452" s="19">
        <f>45664+320+116.5+613.9-25.8</f>
        <v>46688.6</v>
      </c>
      <c r="J452" s="19">
        <v>47944.7</v>
      </c>
      <c r="K452" s="19">
        <v>55138.8</v>
      </c>
      <c r="L452" s="19">
        <f>54155.7+13124-140.7+1112.3-357.9-0.1</f>
        <v>67893.3</v>
      </c>
      <c r="M452" s="19">
        <f>74307.8+43</f>
        <v>74350.8</v>
      </c>
      <c r="N452" s="19">
        <f>75503.3+680.9+542.4+340-1560</f>
        <v>75506.599999999991</v>
      </c>
      <c r="O452" s="16">
        <f>88138.9+200+300+1188.3+75+149.5-1095.7</f>
        <v>88956</v>
      </c>
      <c r="P452" s="16">
        <f>102127.5+6270.6+52.7</f>
        <v>108450.8</v>
      </c>
      <c r="Q452" s="19">
        <v>106319.5</v>
      </c>
      <c r="R452" s="19">
        <v>110104.2</v>
      </c>
      <c r="S452" s="36"/>
      <c r="T452" s="36"/>
      <c r="U452" s="36"/>
      <c r="V452" s="36"/>
      <c r="W452" s="2"/>
      <c r="X452" s="2"/>
    </row>
    <row r="453" spans="1:24" ht="68.849999999999994" customHeight="1" x14ac:dyDescent="0.25">
      <c r="A453" s="68"/>
      <c r="B453" s="157"/>
      <c r="C453" s="303"/>
      <c r="D453" s="17" t="s">
        <v>20</v>
      </c>
      <c r="E453" s="18">
        <f t="shared" si="150"/>
        <v>37.299999999999997</v>
      </c>
      <c r="F453" s="19"/>
      <c r="G453" s="19">
        <v>37.299999999999997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>
        <v>0</v>
      </c>
      <c r="O453" s="19">
        <v>0</v>
      </c>
      <c r="P453" s="19">
        <v>0</v>
      </c>
      <c r="Q453" s="19">
        <v>0</v>
      </c>
      <c r="R453" s="19">
        <v>0</v>
      </c>
      <c r="S453" s="36"/>
      <c r="T453" s="36"/>
      <c r="U453" s="36"/>
      <c r="V453" s="36"/>
      <c r="W453" s="2"/>
      <c r="X453" s="2"/>
    </row>
    <row r="454" spans="1:24" ht="31.9" customHeight="1" x14ac:dyDescent="0.25">
      <c r="A454" s="62"/>
      <c r="B454" s="159"/>
      <c r="C454" s="304"/>
      <c r="D454" s="17" t="s">
        <v>21</v>
      </c>
      <c r="E454" s="18">
        <f t="shared" si="150"/>
        <v>0</v>
      </c>
      <c r="F454" s="19"/>
      <c r="G454" s="19">
        <v>0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36"/>
      <c r="T454" s="36"/>
      <c r="U454" s="36"/>
      <c r="V454" s="36"/>
      <c r="W454" s="2"/>
      <c r="X454" s="2"/>
    </row>
    <row r="455" spans="1:24" ht="16.5" hidden="1" customHeight="1" x14ac:dyDescent="0.25">
      <c r="A455" s="120" t="s">
        <v>111</v>
      </c>
      <c r="B455" s="285" t="s">
        <v>112</v>
      </c>
      <c r="C455" s="287" t="s">
        <v>113</v>
      </c>
      <c r="D455" s="17" t="s">
        <v>29</v>
      </c>
      <c r="E455" s="18">
        <f>SUM(F455:L455)</f>
        <v>0</v>
      </c>
      <c r="F455" s="19"/>
      <c r="G455" s="19">
        <f t="shared" ref="G455:L455" si="162">G458</f>
        <v>0</v>
      </c>
      <c r="H455" s="19">
        <f t="shared" si="162"/>
        <v>0</v>
      </c>
      <c r="I455" s="19">
        <f t="shared" si="162"/>
        <v>0</v>
      </c>
      <c r="J455" s="19">
        <f t="shared" si="162"/>
        <v>0</v>
      </c>
      <c r="K455" s="19">
        <f t="shared" si="162"/>
        <v>0</v>
      </c>
      <c r="L455" s="19">
        <f t="shared" si="162"/>
        <v>0</v>
      </c>
      <c r="M455" s="19">
        <f>M458</f>
        <v>0</v>
      </c>
      <c r="N455" s="19"/>
      <c r="O455" s="19"/>
      <c r="P455" s="19"/>
      <c r="Q455" s="19"/>
      <c r="R455" s="19"/>
      <c r="S455" s="36"/>
      <c r="T455" s="36"/>
      <c r="U455" s="36"/>
      <c r="V455" s="36"/>
      <c r="W455" s="2"/>
      <c r="X455" s="2"/>
    </row>
    <row r="456" spans="1:24" ht="18" hidden="1" customHeight="1" x14ac:dyDescent="0.25">
      <c r="A456" s="120"/>
      <c r="B456" s="337"/>
      <c r="C456" s="288"/>
      <c r="D456" s="17" t="s">
        <v>17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36"/>
      <c r="W456" s="2"/>
      <c r="X456" s="2"/>
    </row>
    <row r="457" spans="1:24" ht="15" hidden="1" customHeight="1" x14ac:dyDescent="0.25">
      <c r="A457" s="120"/>
      <c r="B457" s="337"/>
      <c r="C457" s="288"/>
      <c r="D457" s="17" t="s">
        <v>18</v>
      </c>
      <c r="E457" s="18">
        <f>SUM(F457:L457)</f>
        <v>0</v>
      </c>
      <c r="F457" s="19"/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  <c r="N457" s="19"/>
      <c r="O457" s="19"/>
      <c r="P457" s="19"/>
      <c r="Q457" s="19"/>
      <c r="R457" s="19"/>
      <c r="S457" s="36"/>
      <c r="T457" s="36"/>
      <c r="U457" s="36"/>
      <c r="V457" s="36"/>
      <c r="W457" s="2"/>
      <c r="X457" s="2"/>
    </row>
    <row r="458" spans="1:24" ht="15.75" hidden="1" customHeight="1" x14ac:dyDescent="0.25">
      <c r="A458" s="121"/>
      <c r="B458" s="337"/>
      <c r="C458" s="288"/>
      <c r="D458" s="17" t="s">
        <v>19</v>
      </c>
      <c r="E458" s="18">
        <f>SUM(F458:L458)</f>
        <v>0</v>
      </c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36"/>
      <c r="T458" s="36"/>
      <c r="U458" s="36"/>
      <c r="V458" s="36"/>
      <c r="W458" s="2"/>
      <c r="X458" s="2"/>
    </row>
    <row r="459" spans="1:24" ht="30.75" hidden="1" customHeight="1" x14ac:dyDescent="0.25">
      <c r="A459" s="155"/>
      <c r="B459" s="136"/>
      <c r="C459" s="289"/>
      <c r="D459" s="17" t="s">
        <v>21</v>
      </c>
      <c r="E459" s="18">
        <f>SUM(F459:L459)</f>
        <v>0</v>
      </c>
      <c r="F459" s="19"/>
      <c r="G459" s="19">
        <v>0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  <c r="N459" s="19"/>
      <c r="O459" s="19"/>
      <c r="P459" s="19"/>
      <c r="Q459" s="19"/>
      <c r="R459" s="19"/>
      <c r="S459" s="36"/>
      <c r="T459" s="36"/>
      <c r="U459" s="36"/>
      <c r="V459" s="36"/>
      <c r="W459" s="2"/>
      <c r="X459" s="2"/>
    </row>
    <row r="460" spans="1:24" ht="50.25" hidden="1" customHeight="1" x14ac:dyDescent="0.25">
      <c r="A460" s="63" t="s">
        <v>114</v>
      </c>
      <c r="B460" s="64" t="s">
        <v>115</v>
      </c>
      <c r="C460" s="132"/>
      <c r="D460" s="14" t="s">
        <v>4</v>
      </c>
      <c r="E460" s="15">
        <f>SUM(E461:E463)</f>
        <v>0</v>
      </c>
      <c r="F460" s="16"/>
      <c r="G460" s="16">
        <f t="shared" ref="G460:M460" si="163">G461</f>
        <v>0</v>
      </c>
      <c r="H460" s="16">
        <f t="shared" si="163"/>
        <v>0</v>
      </c>
      <c r="I460" s="16">
        <f t="shared" si="163"/>
        <v>0</v>
      </c>
      <c r="J460" s="16">
        <f t="shared" si="163"/>
        <v>0</v>
      </c>
      <c r="K460" s="16">
        <f t="shared" si="163"/>
        <v>0</v>
      </c>
      <c r="L460" s="16">
        <f t="shared" si="163"/>
        <v>0</v>
      </c>
      <c r="M460" s="16">
        <f t="shared" si="163"/>
        <v>0</v>
      </c>
      <c r="N460" s="16"/>
      <c r="O460" s="16"/>
      <c r="P460" s="16"/>
      <c r="Q460" s="16"/>
      <c r="R460" s="16"/>
      <c r="S460" s="82"/>
      <c r="T460" s="82"/>
      <c r="U460" s="82"/>
      <c r="V460" s="82"/>
      <c r="W460" s="2"/>
      <c r="X460" s="2"/>
    </row>
    <row r="461" spans="1:24" ht="15" hidden="1" customHeight="1" x14ac:dyDescent="0.25">
      <c r="A461" s="321" t="s">
        <v>116</v>
      </c>
      <c r="B461" s="282" t="s">
        <v>110</v>
      </c>
      <c r="C461" s="132"/>
      <c r="D461" s="17" t="s">
        <v>29</v>
      </c>
      <c r="E461" s="18">
        <f>SUM(F461:L461)</f>
        <v>0</v>
      </c>
      <c r="F461" s="19"/>
      <c r="G461" s="19">
        <f t="shared" ref="G461:L461" si="164">G464</f>
        <v>0</v>
      </c>
      <c r="H461" s="19">
        <f t="shared" si="164"/>
        <v>0</v>
      </c>
      <c r="I461" s="19">
        <f t="shared" si="164"/>
        <v>0</v>
      </c>
      <c r="J461" s="19">
        <f t="shared" si="164"/>
        <v>0</v>
      </c>
      <c r="K461" s="19">
        <f t="shared" si="164"/>
        <v>0</v>
      </c>
      <c r="L461" s="19">
        <f t="shared" si="164"/>
        <v>0</v>
      </c>
      <c r="M461" s="19">
        <f>M464</f>
        <v>0</v>
      </c>
      <c r="N461" s="19"/>
      <c r="O461" s="19"/>
      <c r="P461" s="19"/>
      <c r="Q461" s="19"/>
      <c r="R461" s="19"/>
      <c r="S461" s="36"/>
      <c r="T461" s="36"/>
      <c r="U461" s="36"/>
      <c r="V461" s="36"/>
      <c r="W461" s="2"/>
      <c r="X461" s="2"/>
    </row>
    <row r="462" spans="1:24" ht="17.25" hidden="1" customHeight="1" x14ac:dyDescent="0.25">
      <c r="A462" s="305"/>
      <c r="B462" s="307"/>
      <c r="C462" s="132"/>
      <c r="D462" s="17" t="s">
        <v>17</v>
      </c>
      <c r="E462" s="18">
        <f>SUM(F462:L462)</f>
        <v>0</v>
      </c>
      <c r="F462" s="19"/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  <c r="N462" s="19"/>
      <c r="O462" s="19"/>
      <c r="P462" s="19"/>
      <c r="Q462" s="19"/>
      <c r="R462" s="19"/>
      <c r="S462" s="36"/>
      <c r="T462" s="36"/>
      <c r="U462" s="36"/>
      <c r="V462" s="36"/>
      <c r="W462" s="2"/>
      <c r="X462" s="2"/>
    </row>
    <row r="463" spans="1:24" ht="17.25" hidden="1" customHeight="1" x14ac:dyDescent="0.25">
      <c r="A463" s="305"/>
      <c r="B463" s="307"/>
      <c r="C463" s="132"/>
      <c r="D463" s="17" t="s">
        <v>18</v>
      </c>
      <c r="E463" s="18">
        <f>SUM(F463:L463)</f>
        <v>0</v>
      </c>
      <c r="F463" s="19"/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/>
      <c r="O463" s="19"/>
      <c r="P463" s="19"/>
      <c r="Q463" s="19"/>
      <c r="R463" s="19"/>
      <c r="S463" s="36"/>
      <c r="T463" s="36"/>
      <c r="U463" s="36"/>
      <c r="V463" s="36"/>
      <c r="W463" s="2"/>
      <c r="X463" s="2"/>
    </row>
    <row r="464" spans="1:24" ht="15.75" hidden="1" customHeight="1" x14ac:dyDescent="0.25">
      <c r="A464" s="305"/>
      <c r="B464" s="307"/>
      <c r="C464" s="132"/>
      <c r="D464" s="17" t="s">
        <v>19</v>
      </c>
      <c r="E464" s="18">
        <f>SUM(F464:L464)</f>
        <v>0</v>
      </c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36"/>
      <c r="T464" s="36"/>
      <c r="U464" s="36"/>
      <c r="V464" s="36"/>
      <c r="W464" s="2"/>
      <c r="X464" s="2"/>
    </row>
    <row r="465" spans="1:55" ht="34.5" hidden="1" customHeight="1" x14ac:dyDescent="0.25">
      <c r="A465" s="305"/>
      <c r="B465" s="307"/>
      <c r="C465" s="132"/>
      <c r="D465" s="17" t="s">
        <v>66</v>
      </c>
      <c r="E465" s="18">
        <f>SUM(G465:L465)</f>
        <v>0</v>
      </c>
      <c r="F465" s="19"/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  <c r="N465" s="19"/>
      <c r="O465" s="19"/>
      <c r="P465" s="19"/>
      <c r="Q465" s="19"/>
      <c r="R465" s="19"/>
      <c r="S465" s="36"/>
      <c r="T465" s="36"/>
      <c r="U465" s="36"/>
      <c r="V465" s="36"/>
      <c r="W465" s="2"/>
      <c r="X465" s="2"/>
    </row>
    <row r="466" spans="1:55" ht="8.65" hidden="1" customHeight="1" x14ac:dyDescent="0.25">
      <c r="A466" s="320"/>
      <c r="B466" s="307"/>
      <c r="C466" s="132"/>
      <c r="D466" s="65" t="s">
        <v>21</v>
      </c>
      <c r="E466" s="18">
        <f>SUM(F466:L466)</f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/>
      <c r="O466" s="19"/>
      <c r="P466" s="19"/>
      <c r="Q466" s="19"/>
      <c r="R466" s="19"/>
      <c r="S466" s="36"/>
      <c r="T466" s="36"/>
      <c r="U466" s="36"/>
      <c r="V466" s="36"/>
      <c r="W466" s="2"/>
      <c r="X466" s="2"/>
    </row>
    <row r="467" spans="1:55" ht="31.9" customHeight="1" x14ac:dyDescent="0.25">
      <c r="A467" s="334" t="s">
        <v>117</v>
      </c>
      <c r="B467" s="336" t="s">
        <v>118</v>
      </c>
      <c r="C467" s="30"/>
      <c r="D467" s="14" t="s">
        <v>4</v>
      </c>
      <c r="E467" s="15">
        <f>SUM(G467:R467)</f>
        <v>51098.6</v>
      </c>
      <c r="F467" s="16"/>
      <c r="G467" s="16">
        <f t="shared" ref="G467:L467" si="165">G472+G477</f>
        <v>0</v>
      </c>
      <c r="H467" s="16">
        <f t="shared" si="165"/>
        <v>2336.3000000000002</v>
      </c>
      <c r="I467" s="16">
        <f t="shared" si="165"/>
        <v>1635.2999999999997</v>
      </c>
      <c r="J467" s="16">
        <f t="shared" si="165"/>
        <v>2000.6</v>
      </c>
      <c r="K467" s="16">
        <f t="shared" si="165"/>
        <v>2490.6999999999998</v>
      </c>
      <c r="L467" s="16">
        <f t="shared" si="165"/>
        <v>3266.7</v>
      </c>
      <c r="M467" s="16">
        <f t="shared" ref="M467:R467" si="166">M472+M477+M482</f>
        <v>3736.2</v>
      </c>
      <c r="N467" s="16">
        <f t="shared" si="166"/>
        <v>5684</v>
      </c>
      <c r="O467" s="16">
        <f t="shared" si="166"/>
        <v>7923.3</v>
      </c>
      <c r="P467" s="16">
        <f t="shared" si="166"/>
        <v>5977.9</v>
      </c>
      <c r="Q467" s="16">
        <f t="shared" si="166"/>
        <v>8259.2000000000007</v>
      </c>
      <c r="R467" s="16">
        <f t="shared" si="166"/>
        <v>7788.4</v>
      </c>
      <c r="S467" s="82"/>
      <c r="T467" s="82"/>
      <c r="U467" s="82"/>
      <c r="V467" s="82"/>
      <c r="W467" s="2"/>
      <c r="X467" s="2"/>
    </row>
    <row r="468" spans="1:55" ht="40.15" customHeight="1" x14ac:dyDescent="0.25">
      <c r="A468" s="382"/>
      <c r="B468" s="313"/>
      <c r="C468" s="131"/>
      <c r="D468" s="17" t="s">
        <v>17</v>
      </c>
      <c r="E468" s="18">
        <f t="shared" ref="E468:E486" si="167">SUM(F468:R468)</f>
        <v>0</v>
      </c>
      <c r="F468" s="16"/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36"/>
      <c r="W468" s="2"/>
      <c r="X468" s="2"/>
    </row>
    <row r="469" spans="1:55" ht="36" customHeight="1" x14ac:dyDescent="0.25">
      <c r="A469" s="382"/>
      <c r="B469" s="313"/>
      <c r="C469" s="130"/>
      <c r="D469" s="23" t="s">
        <v>18</v>
      </c>
      <c r="E469" s="18">
        <f t="shared" si="167"/>
        <v>0</v>
      </c>
      <c r="F469" s="41"/>
      <c r="G469" s="25">
        <v>0</v>
      </c>
      <c r="H469" s="25">
        <v>0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0</v>
      </c>
      <c r="O469" s="25">
        <v>0</v>
      </c>
      <c r="P469" s="25">
        <v>0</v>
      </c>
      <c r="Q469" s="25">
        <v>0</v>
      </c>
      <c r="R469" s="25">
        <v>0</v>
      </c>
      <c r="S469" s="36"/>
      <c r="T469" s="36"/>
      <c r="U469" s="36"/>
      <c r="V469" s="36"/>
      <c r="W469" s="2"/>
      <c r="X469" s="2"/>
    </row>
    <row r="470" spans="1:55" ht="36.6" customHeight="1" x14ac:dyDescent="0.25">
      <c r="A470" s="382"/>
      <c r="B470" s="313"/>
      <c r="C470" s="131"/>
      <c r="D470" s="17" t="s">
        <v>19</v>
      </c>
      <c r="E470" s="18">
        <f t="shared" si="167"/>
        <v>51098.6</v>
      </c>
      <c r="F470" s="16"/>
      <c r="G470" s="19">
        <v>0</v>
      </c>
      <c r="H470" s="19">
        <f>H475+H480</f>
        <v>2336.3000000000002</v>
      </c>
      <c r="I470" s="19">
        <f>I475+I480</f>
        <v>1635.2999999999997</v>
      </c>
      <c r="J470" s="19">
        <f>J475+J480</f>
        <v>2000.6</v>
      </c>
      <c r="K470" s="19">
        <f>K475+K480</f>
        <v>2490.6999999999998</v>
      </c>
      <c r="L470" s="19">
        <f>L475+L480</f>
        <v>3266.7</v>
      </c>
      <c r="M470" s="19">
        <f t="shared" ref="M470:R470" si="168">M475+M480+M485</f>
        <v>3736.2</v>
      </c>
      <c r="N470" s="19">
        <f t="shared" si="168"/>
        <v>5684</v>
      </c>
      <c r="O470" s="19">
        <f t="shared" si="168"/>
        <v>7923.3</v>
      </c>
      <c r="P470" s="19">
        <f t="shared" si="168"/>
        <v>5977.9</v>
      </c>
      <c r="Q470" s="19">
        <f t="shared" si="168"/>
        <v>8259.2000000000007</v>
      </c>
      <c r="R470" s="19">
        <f t="shared" si="168"/>
        <v>7788.4</v>
      </c>
      <c r="S470" s="36"/>
      <c r="T470" s="36"/>
      <c r="U470" s="36"/>
      <c r="V470" s="36"/>
      <c r="W470" s="2"/>
      <c r="X470" s="2"/>
      <c r="BC470" s="2"/>
    </row>
    <row r="471" spans="1:55" ht="33.75" customHeight="1" x14ac:dyDescent="0.25">
      <c r="A471" s="22"/>
      <c r="B471" s="154"/>
      <c r="C471" s="131"/>
      <c r="D471" s="23" t="s">
        <v>21</v>
      </c>
      <c r="E471" s="18">
        <f t="shared" si="167"/>
        <v>0</v>
      </c>
      <c r="F471" s="41"/>
      <c r="G471" s="25">
        <v>0</v>
      </c>
      <c r="H471" s="25">
        <v>0</v>
      </c>
      <c r="I471" s="25">
        <v>0</v>
      </c>
      <c r="J471" s="25">
        <v>0</v>
      </c>
      <c r="K471" s="25">
        <v>0</v>
      </c>
      <c r="L471" s="25">
        <v>0</v>
      </c>
      <c r="M471" s="25">
        <v>0</v>
      </c>
      <c r="N471" s="25">
        <v>0</v>
      </c>
      <c r="O471" s="25">
        <v>0</v>
      </c>
      <c r="P471" s="25">
        <v>0</v>
      </c>
      <c r="Q471" s="25">
        <v>0</v>
      </c>
      <c r="R471" s="25">
        <v>0</v>
      </c>
      <c r="S471" s="36"/>
      <c r="T471" s="36"/>
      <c r="U471" s="36"/>
      <c r="V471" s="36"/>
      <c r="W471" s="2"/>
      <c r="X471" s="2"/>
    </row>
    <row r="472" spans="1:55" ht="24.95" customHeight="1" x14ac:dyDescent="0.25">
      <c r="A472" s="402" t="s">
        <v>119</v>
      </c>
      <c r="B472" s="285" t="s">
        <v>167</v>
      </c>
      <c r="C472" s="287" t="s">
        <v>75</v>
      </c>
      <c r="D472" s="17" t="s">
        <v>29</v>
      </c>
      <c r="E472" s="18">
        <f t="shared" si="167"/>
        <v>13112</v>
      </c>
      <c r="F472" s="19"/>
      <c r="G472" s="19">
        <v>0</v>
      </c>
      <c r="H472" s="19">
        <f t="shared" ref="H472:Q472" si="169">SUM(H473:H475)</f>
        <v>641.20000000000005</v>
      </c>
      <c r="I472" s="19">
        <f t="shared" si="169"/>
        <v>540.5</v>
      </c>
      <c r="J472" s="19">
        <f t="shared" si="169"/>
        <v>525.5</v>
      </c>
      <c r="K472" s="19">
        <f t="shared" si="169"/>
        <v>845.4</v>
      </c>
      <c r="L472" s="19">
        <f t="shared" si="169"/>
        <v>1157.9999999999998</v>
      </c>
      <c r="M472" s="19">
        <f t="shared" si="169"/>
        <v>1002.6</v>
      </c>
      <c r="N472" s="19">
        <f t="shared" si="169"/>
        <v>1224.7999999999997</v>
      </c>
      <c r="O472" s="19">
        <f t="shared" si="169"/>
        <v>1746.3</v>
      </c>
      <c r="P472" s="19">
        <f t="shared" si="169"/>
        <v>1764.3000000000002</v>
      </c>
      <c r="Q472" s="19">
        <f t="shared" si="169"/>
        <v>2067.1000000000004</v>
      </c>
      <c r="R472" s="19">
        <f>SUM(R473:R475)</f>
        <v>1596.3000000000002</v>
      </c>
      <c r="S472" s="36"/>
      <c r="T472" s="36"/>
      <c r="U472" s="36"/>
      <c r="V472" s="36"/>
      <c r="W472" s="2"/>
      <c r="X472" s="2"/>
    </row>
    <row r="473" spans="1:55" ht="35.65" customHeight="1" x14ac:dyDescent="0.25">
      <c r="A473" s="402"/>
      <c r="B473" s="404"/>
      <c r="C473" s="398"/>
      <c r="D473" s="17" t="s">
        <v>17</v>
      </c>
      <c r="E473" s="18">
        <f t="shared" si="167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36"/>
      <c r="W473" s="2"/>
      <c r="X473" s="2"/>
    </row>
    <row r="474" spans="1:55" ht="43.9" customHeight="1" x14ac:dyDescent="0.25">
      <c r="A474" s="402"/>
      <c r="B474" s="127"/>
      <c r="C474" s="398"/>
      <c r="D474" s="17" t="s">
        <v>18</v>
      </c>
      <c r="E474" s="18">
        <f t="shared" si="167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36"/>
      <c r="W474" s="2"/>
      <c r="X474" s="2"/>
    </row>
    <row r="475" spans="1:55" ht="47.85" customHeight="1" x14ac:dyDescent="0.25">
      <c r="A475" s="402"/>
      <c r="B475" s="127"/>
      <c r="C475" s="398"/>
      <c r="D475" s="17" t="s">
        <v>19</v>
      </c>
      <c r="E475" s="18">
        <f t="shared" si="167"/>
        <v>13112</v>
      </c>
      <c r="F475" s="19"/>
      <c r="G475" s="19">
        <v>0</v>
      </c>
      <c r="H475" s="19">
        <f>325.5+372.6-56.9</f>
        <v>641.20000000000005</v>
      </c>
      <c r="I475" s="19">
        <f>325.5+215</f>
        <v>540.5</v>
      </c>
      <c r="J475" s="19">
        <f>325.5+215-15</f>
        <v>525.5</v>
      </c>
      <c r="K475" s="19">
        <v>845.4</v>
      </c>
      <c r="L475" s="19">
        <f>831.5+92.1+180+54.3+0.1</f>
        <v>1157.9999999999998</v>
      </c>
      <c r="M475" s="19">
        <f>948.2+54.4</f>
        <v>1002.6</v>
      </c>
      <c r="N475" s="19">
        <f>477.7+519.4+147+590.8-510.1</f>
        <v>1224.7999999999997</v>
      </c>
      <c r="O475" s="19">
        <f>338.5+1157.8+250</f>
        <v>1746.3</v>
      </c>
      <c r="P475" s="19">
        <f>813.7+950.6</f>
        <v>1764.3000000000002</v>
      </c>
      <c r="Q475" s="19">
        <f>813.7+1253.4</f>
        <v>2067.1000000000004</v>
      </c>
      <c r="R475" s="19">
        <f>813.7+782.6</f>
        <v>1596.3000000000002</v>
      </c>
      <c r="S475" s="36"/>
      <c r="T475" s="36"/>
      <c r="U475" s="36"/>
      <c r="V475" s="36"/>
      <c r="W475" s="2"/>
      <c r="X475" s="2"/>
    </row>
    <row r="476" spans="1:55" ht="31.9" customHeight="1" x14ac:dyDescent="0.25">
      <c r="A476" s="403"/>
      <c r="B476" s="128"/>
      <c r="C476" s="352"/>
      <c r="D476" s="17" t="s">
        <v>21</v>
      </c>
      <c r="E476" s="18">
        <f t="shared" si="167"/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36"/>
      <c r="W476" s="2"/>
      <c r="X476" s="2"/>
    </row>
    <row r="477" spans="1:55" ht="39.4" customHeight="1" x14ac:dyDescent="0.25">
      <c r="A477" s="126" t="s">
        <v>120</v>
      </c>
      <c r="B477" s="282" t="s">
        <v>121</v>
      </c>
      <c r="C477" s="302" t="s">
        <v>75</v>
      </c>
      <c r="D477" s="17" t="s">
        <v>29</v>
      </c>
      <c r="E477" s="18">
        <f>SUM(F477:R477)</f>
        <v>26142.899999999998</v>
      </c>
      <c r="F477" s="19">
        <f t="shared" ref="F477:L477" si="170">SUM(F478:F480)</f>
        <v>0</v>
      </c>
      <c r="G477" s="19">
        <f t="shared" si="170"/>
        <v>0</v>
      </c>
      <c r="H477" s="19">
        <f t="shared" si="170"/>
        <v>1695.1</v>
      </c>
      <c r="I477" s="19">
        <f t="shared" si="170"/>
        <v>1094.7999999999997</v>
      </c>
      <c r="J477" s="19">
        <f t="shared" si="170"/>
        <v>1475.1</v>
      </c>
      <c r="K477" s="19">
        <f t="shared" si="170"/>
        <v>1645.3</v>
      </c>
      <c r="L477" s="19">
        <f t="shared" si="170"/>
        <v>2108.7000000000003</v>
      </c>
      <c r="M477" s="19">
        <f t="shared" ref="M477:R477" si="171">SUM(M478:M480)</f>
        <v>1443.6</v>
      </c>
      <c r="N477" s="19">
        <f t="shared" si="171"/>
        <v>2627</v>
      </c>
      <c r="O477" s="19">
        <f t="shared" si="171"/>
        <v>3877</v>
      </c>
      <c r="P477" s="19">
        <f t="shared" si="171"/>
        <v>3392.1</v>
      </c>
      <c r="Q477" s="19">
        <f t="shared" si="171"/>
        <v>3392.1</v>
      </c>
      <c r="R477" s="19">
        <f t="shared" si="171"/>
        <v>3392.1</v>
      </c>
      <c r="S477" s="36"/>
      <c r="T477" s="36"/>
      <c r="U477" s="36"/>
      <c r="V477" s="36"/>
      <c r="W477" s="2"/>
      <c r="X477" s="2"/>
    </row>
    <row r="478" spans="1:55" ht="31.9" customHeight="1" x14ac:dyDescent="0.25">
      <c r="A478" s="145"/>
      <c r="B478" s="369"/>
      <c r="C478" s="370"/>
      <c r="D478" s="17" t="s">
        <v>17</v>
      </c>
      <c r="E478" s="18">
        <f t="shared" si="167"/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36"/>
      <c r="T478" s="36"/>
      <c r="U478" s="36"/>
      <c r="V478" s="36"/>
      <c r="W478" s="2"/>
      <c r="X478" s="2"/>
    </row>
    <row r="479" spans="1:55" ht="27.6" customHeight="1" x14ac:dyDescent="0.25">
      <c r="A479" s="145"/>
      <c r="B479" s="369"/>
      <c r="C479" s="370"/>
      <c r="D479" s="17" t="s">
        <v>18</v>
      </c>
      <c r="E479" s="18">
        <f t="shared" si="167"/>
        <v>0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36"/>
      <c r="T479" s="36"/>
      <c r="U479" s="36"/>
      <c r="V479" s="36"/>
      <c r="W479" s="2"/>
      <c r="X479" s="2"/>
    </row>
    <row r="480" spans="1:55" ht="29.85" customHeight="1" x14ac:dyDescent="0.25">
      <c r="A480" s="145"/>
      <c r="B480" s="369"/>
      <c r="C480" s="370"/>
      <c r="D480" s="17" t="s">
        <v>19</v>
      </c>
      <c r="E480" s="18">
        <f t="shared" si="167"/>
        <v>26142.899999999998</v>
      </c>
      <c r="F480" s="19"/>
      <c r="G480" s="19">
        <v>0</v>
      </c>
      <c r="H480" s="19">
        <f>1101.1+429.3+250-85.3</f>
        <v>1695.1</v>
      </c>
      <c r="I480" s="19">
        <f>1491.1+980.3+14-1390.6</f>
        <v>1094.7999999999997</v>
      </c>
      <c r="J480" s="19">
        <v>1475.1</v>
      </c>
      <c r="K480" s="19">
        <v>1645.3</v>
      </c>
      <c r="L480" s="19">
        <f>3054.4-850-95.7</f>
        <v>2108.7000000000003</v>
      </c>
      <c r="M480" s="19">
        <f>1498.2-54.4-0.2</f>
        <v>1443.6</v>
      </c>
      <c r="N480" s="19">
        <f>1331.5+1807.5+37.4-519.4-30</f>
        <v>2627</v>
      </c>
      <c r="O480" s="19">
        <f>2627+600+250+400</f>
        <v>3877</v>
      </c>
      <c r="P480" s="19">
        <f>2022.6+1313.4+56.1</f>
        <v>3392.1</v>
      </c>
      <c r="Q480" s="19">
        <f>P480</f>
        <v>3392.1</v>
      </c>
      <c r="R480" s="19">
        <f>Q480</f>
        <v>3392.1</v>
      </c>
      <c r="S480" s="36"/>
      <c r="T480" s="36"/>
      <c r="U480" s="36"/>
      <c r="V480" s="36"/>
      <c r="W480" s="2"/>
      <c r="X480" s="2"/>
    </row>
    <row r="481" spans="1:67" ht="30.4" customHeight="1" x14ac:dyDescent="0.25">
      <c r="A481" s="146"/>
      <c r="B481" s="379"/>
      <c r="C481" s="371"/>
      <c r="D481" s="17" t="s">
        <v>21</v>
      </c>
      <c r="E481" s="18">
        <f t="shared" si="167"/>
        <v>0</v>
      </c>
      <c r="F481" s="19"/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36"/>
      <c r="T481" s="36"/>
      <c r="U481" s="36"/>
      <c r="V481" s="36"/>
      <c r="W481" s="2"/>
      <c r="X481" s="2"/>
    </row>
    <row r="482" spans="1:67" ht="34.9" customHeight="1" x14ac:dyDescent="0.25">
      <c r="A482" s="275" t="s">
        <v>187</v>
      </c>
      <c r="B482" s="399" t="s">
        <v>197</v>
      </c>
      <c r="C482" s="302" t="s">
        <v>75</v>
      </c>
      <c r="D482" s="17" t="s">
        <v>29</v>
      </c>
      <c r="E482" s="18">
        <f>SUM(F482:R482)</f>
        <v>11843.7</v>
      </c>
      <c r="F482" s="19">
        <f t="shared" ref="F482:L482" si="172">SUM(F483:F485)</f>
        <v>0</v>
      </c>
      <c r="G482" s="19">
        <f t="shared" si="172"/>
        <v>0</v>
      </c>
      <c r="H482" s="19">
        <f t="shared" si="172"/>
        <v>0</v>
      </c>
      <c r="I482" s="19">
        <f t="shared" si="172"/>
        <v>0</v>
      </c>
      <c r="J482" s="19">
        <f t="shared" si="172"/>
        <v>0</v>
      </c>
      <c r="K482" s="19">
        <f t="shared" si="172"/>
        <v>0</v>
      </c>
      <c r="L482" s="19">
        <f t="shared" si="172"/>
        <v>0</v>
      </c>
      <c r="M482" s="19">
        <f t="shared" ref="M482:R482" si="173">SUM(M483:M485)</f>
        <v>1290</v>
      </c>
      <c r="N482" s="19">
        <f t="shared" si="173"/>
        <v>1832.2</v>
      </c>
      <c r="O482" s="19">
        <f t="shared" si="173"/>
        <v>2300</v>
      </c>
      <c r="P482" s="19">
        <f t="shared" si="173"/>
        <v>821.5</v>
      </c>
      <c r="Q482" s="19">
        <f t="shared" si="173"/>
        <v>2800</v>
      </c>
      <c r="R482" s="19">
        <f t="shared" si="173"/>
        <v>2800</v>
      </c>
      <c r="S482" s="36"/>
      <c r="T482" s="36"/>
      <c r="U482" s="36"/>
      <c r="V482" s="36"/>
      <c r="W482" s="2"/>
      <c r="X482" s="2"/>
    </row>
    <row r="483" spans="1:67" ht="34.9" customHeight="1" x14ac:dyDescent="0.25">
      <c r="A483" s="44"/>
      <c r="B483" s="400"/>
      <c r="C483" s="370"/>
      <c r="D483" s="17" t="s">
        <v>17</v>
      </c>
      <c r="E483" s="18">
        <f t="shared" si="167"/>
        <v>0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36"/>
      <c r="T483" s="36"/>
      <c r="U483" s="36"/>
      <c r="V483" s="36"/>
      <c r="W483" s="2"/>
      <c r="X483" s="2"/>
    </row>
    <row r="484" spans="1:67" ht="51.75" customHeight="1" x14ac:dyDescent="0.25">
      <c r="A484" s="44"/>
      <c r="B484" s="400"/>
      <c r="C484" s="370"/>
      <c r="D484" s="17" t="s">
        <v>18</v>
      </c>
      <c r="E484" s="18">
        <f t="shared" si="167"/>
        <v>0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36"/>
      <c r="T484" s="36"/>
      <c r="U484" s="36"/>
      <c r="V484" s="36"/>
      <c r="W484" s="2"/>
      <c r="X484" s="2"/>
    </row>
    <row r="485" spans="1:67" ht="34.9" customHeight="1" x14ac:dyDescent="0.25">
      <c r="A485" s="44"/>
      <c r="B485" s="400"/>
      <c r="C485" s="370"/>
      <c r="D485" s="17" t="s">
        <v>19</v>
      </c>
      <c r="E485" s="18">
        <f t="shared" si="167"/>
        <v>11843.7</v>
      </c>
      <c r="F485" s="19"/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1290</v>
      </c>
      <c r="N485" s="19">
        <f>1583.7-1000+2216.3-967.8</f>
        <v>1832.2</v>
      </c>
      <c r="O485" s="19">
        <f>2800-500</f>
        <v>2300</v>
      </c>
      <c r="P485" s="279">
        <f>2800-1978.5</f>
        <v>821.5</v>
      </c>
      <c r="Q485" s="278">
        <f>2800</f>
        <v>2800</v>
      </c>
      <c r="R485" s="19">
        <v>2800</v>
      </c>
      <c r="S485" s="36"/>
      <c r="T485" s="36"/>
      <c r="U485" s="36"/>
      <c r="V485" s="36"/>
      <c r="W485" s="2"/>
      <c r="X485" s="2"/>
    </row>
    <row r="486" spans="1:67" ht="46.15" customHeight="1" x14ac:dyDescent="0.25">
      <c r="A486" s="46"/>
      <c r="B486" s="401"/>
      <c r="C486" s="371"/>
      <c r="D486" s="17" t="s">
        <v>21</v>
      </c>
      <c r="E486" s="18">
        <f t="shared" si="167"/>
        <v>0</v>
      </c>
      <c r="F486" s="19"/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36"/>
      <c r="T486" s="36"/>
      <c r="U486" s="36"/>
      <c r="V486" s="36"/>
      <c r="W486" s="2"/>
      <c r="X486" s="2"/>
    </row>
    <row r="487" spans="1:67" ht="10.15" customHeight="1" x14ac:dyDescent="0.25">
      <c r="A487" s="4"/>
      <c r="B487" s="4"/>
      <c r="C487" s="66"/>
      <c r="D487" s="66"/>
      <c r="F487" s="7" t="e">
        <f>F14+#REF!</f>
        <v>#REF!</v>
      </c>
      <c r="G487" s="7"/>
    </row>
    <row r="488" spans="1:67" ht="5.85" customHeight="1" x14ac:dyDescent="0.25"/>
    <row r="489" spans="1:67" ht="45.2" customHeight="1" x14ac:dyDescent="0.25">
      <c r="A489" s="396" t="s">
        <v>211</v>
      </c>
      <c r="B489" s="397"/>
      <c r="C489" s="397"/>
      <c r="D489" s="397"/>
      <c r="E489" s="397"/>
      <c r="F489" s="397"/>
      <c r="G489" s="397"/>
      <c r="H489" s="397"/>
      <c r="I489" s="397"/>
      <c r="J489" s="397"/>
      <c r="K489" s="397"/>
      <c r="L489" s="397"/>
      <c r="M489" s="397"/>
      <c r="N489" s="397"/>
      <c r="O489" s="397"/>
      <c r="P489" s="397"/>
      <c r="Q489" s="397"/>
      <c r="R489" s="113"/>
      <c r="S489" s="172"/>
      <c r="T489" s="113"/>
      <c r="U489" s="113"/>
      <c r="V489" s="113"/>
    </row>
    <row r="490" spans="1:67" ht="33.75" customHeight="1" x14ac:dyDescent="0.25">
      <c r="A490" s="396" t="s">
        <v>212</v>
      </c>
      <c r="B490" s="397"/>
      <c r="C490" s="397"/>
      <c r="D490" s="397"/>
      <c r="E490" s="397"/>
      <c r="F490" s="397"/>
      <c r="G490" s="397"/>
      <c r="H490" s="397"/>
      <c r="I490" s="397"/>
      <c r="J490" s="397"/>
      <c r="K490" s="397"/>
      <c r="L490" s="397"/>
      <c r="M490" s="397"/>
      <c r="N490" s="397"/>
      <c r="O490" s="397"/>
      <c r="P490" s="397"/>
      <c r="Q490" s="397"/>
      <c r="R490" s="113"/>
      <c r="S490" s="172"/>
      <c r="T490" s="113"/>
      <c r="U490" s="113"/>
      <c r="V490" s="113"/>
    </row>
    <row r="491" spans="1:67" ht="33.4" customHeight="1" x14ac:dyDescent="0.25">
      <c r="A491" s="396" t="s">
        <v>213</v>
      </c>
      <c r="B491" s="397"/>
      <c r="C491" s="397"/>
      <c r="D491" s="397"/>
      <c r="E491" s="397"/>
      <c r="F491" s="397"/>
      <c r="G491" s="397"/>
      <c r="H491" s="397"/>
      <c r="I491" s="397"/>
      <c r="J491" s="397"/>
      <c r="K491" s="397"/>
      <c r="L491" s="397"/>
      <c r="M491" s="397"/>
      <c r="N491" s="397"/>
      <c r="O491" s="397"/>
      <c r="P491" s="397"/>
      <c r="Q491" s="397"/>
      <c r="R491" s="113"/>
      <c r="S491" s="172"/>
      <c r="T491" s="113"/>
      <c r="U491" s="113"/>
      <c r="V491" s="113"/>
    </row>
    <row r="492" spans="1:67" ht="31.7" customHeight="1" x14ac:dyDescent="0.25">
      <c r="A492" s="409" t="s">
        <v>233</v>
      </c>
      <c r="B492" s="409"/>
      <c r="C492" s="409"/>
      <c r="D492" s="409"/>
      <c r="E492" s="409"/>
      <c r="F492" s="409"/>
      <c r="G492" s="409"/>
      <c r="H492" s="409"/>
      <c r="I492" s="409"/>
      <c r="J492" s="409"/>
      <c r="K492" s="409"/>
      <c r="L492" s="409"/>
      <c r="M492" s="409"/>
      <c r="N492" s="409"/>
      <c r="O492" s="409"/>
      <c r="P492" s="409"/>
      <c r="Q492" s="409"/>
      <c r="R492" s="99"/>
      <c r="S492" s="99"/>
      <c r="T492" s="99"/>
    </row>
    <row r="493" spans="1:67" ht="31.7" hidden="1" customHeight="1" x14ac:dyDescent="0.3">
      <c r="A493" s="419" t="s">
        <v>1</v>
      </c>
      <c r="B493" s="420" t="s">
        <v>126</v>
      </c>
      <c r="C493" s="112"/>
      <c r="D493" s="420" t="s">
        <v>3</v>
      </c>
      <c r="E493" s="421" t="s">
        <v>165</v>
      </c>
      <c r="F493" s="422"/>
      <c r="G493" s="422"/>
      <c r="H493" s="422"/>
      <c r="I493" s="422"/>
      <c r="J493" s="422"/>
      <c r="K493" s="422"/>
      <c r="L493" s="422"/>
      <c r="M493" s="423"/>
      <c r="N493" s="423"/>
      <c r="O493" s="423"/>
      <c r="P493" s="423"/>
      <c r="Q493" s="423"/>
      <c r="R493" s="293"/>
      <c r="S493" s="293"/>
      <c r="T493" s="293"/>
      <c r="U493" s="424"/>
      <c r="V493" s="424"/>
      <c r="W493" s="424"/>
      <c r="X493" s="424"/>
      <c r="Y493" s="424"/>
      <c r="Z493" s="424"/>
      <c r="AA493" s="424"/>
      <c r="AB493" s="424"/>
      <c r="AC493" s="424"/>
      <c r="AD493" s="424"/>
      <c r="AE493" s="424"/>
      <c r="AF493" s="424"/>
      <c r="AG493" s="424"/>
      <c r="AH493" s="424"/>
      <c r="AI493" s="424"/>
      <c r="AJ493" s="424"/>
      <c r="AK493" s="424"/>
      <c r="AL493" s="424"/>
      <c r="AM493" s="424"/>
      <c r="AN493" s="424"/>
      <c r="AO493" s="424"/>
      <c r="AP493" s="424"/>
      <c r="AQ493" s="424"/>
      <c r="AR493" s="424"/>
      <c r="AS493" s="424"/>
      <c r="AT493" s="424"/>
      <c r="AU493" s="424"/>
      <c r="AV493" s="424"/>
      <c r="AW493" s="424"/>
      <c r="AX493" s="424"/>
      <c r="AY493" s="424"/>
      <c r="AZ493" s="424"/>
      <c r="BA493" s="424"/>
      <c r="BB493" s="424"/>
      <c r="BC493" s="424"/>
      <c r="BD493" s="424"/>
      <c r="BE493" s="424"/>
      <c r="BF493" s="424"/>
      <c r="BG493" s="424"/>
      <c r="BH493" s="424"/>
      <c r="BI493" s="424"/>
      <c r="BJ493" s="424"/>
      <c r="BK493" s="424"/>
      <c r="BL493" s="424"/>
      <c r="BM493" s="424"/>
      <c r="BN493" s="424"/>
      <c r="BO493" s="425"/>
    </row>
    <row r="494" spans="1:67" ht="31.7" hidden="1" customHeight="1" x14ac:dyDescent="0.25">
      <c r="A494" s="348"/>
      <c r="B494" s="350"/>
      <c r="C494" s="99"/>
      <c r="D494" s="350"/>
      <c r="E494" s="197" t="s">
        <v>4</v>
      </c>
      <c r="F494" s="198" t="s">
        <v>5</v>
      </c>
      <c r="G494" s="198" t="s">
        <v>208</v>
      </c>
      <c r="H494" s="198" t="s">
        <v>209</v>
      </c>
      <c r="I494" s="198" t="s">
        <v>6</v>
      </c>
      <c r="J494" s="198" t="s">
        <v>7</v>
      </c>
      <c r="K494" s="198" t="s">
        <v>8</v>
      </c>
      <c r="L494" s="198" t="s">
        <v>178</v>
      </c>
      <c r="M494" s="198" t="s">
        <v>184</v>
      </c>
      <c r="N494" s="198" t="s">
        <v>134</v>
      </c>
      <c r="O494" s="198" t="s">
        <v>135</v>
      </c>
      <c r="P494" s="198" t="s">
        <v>136</v>
      </c>
      <c r="Q494" s="198" t="s">
        <v>137</v>
      </c>
      <c r="R494" s="111"/>
      <c r="S494" s="173"/>
      <c r="T494" s="111"/>
      <c r="BL494" s="198" t="s">
        <v>225</v>
      </c>
      <c r="BM494" s="198" t="s">
        <v>226</v>
      </c>
      <c r="BN494" s="198" t="s">
        <v>227</v>
      </c>
      <c r="BO494" s="198" t="s">
        <v>228</v>
      </c>
    </row>
    <row r="495" spans="1:67" s="4" customFormat="1" ht="33.4" customHeight="1" x14ac:dyDescent="0.25">
      <c r="A495" s="298" t="s">
        <v>246</v>
      </c>
      <c r="B495" s="299"/>
      <c r="C495" s="299"/>
      <c r="D495" s="299"/>
      <c r="E495" s="299"/>
      <c r="F495" s="299"/>
      <c r="G495" s="299"/>
      <c r="H495" s="299"/>
      <c r="I495" s="299"/>
      <c r="J495" s="299"/>
      <c r="K495" s="299"/>
      <c r="L495" s="299"/>
      <c r="M495" s="299"/>
      <c r="N495" s="299"/>
      <c r="O495" s="299"/>
      <c r="P495" s="299"/>
      <c r="Q495" s="299"/>
      <c r="R495" s="201"/>
      <c r="S495" s="201"/>
      <c r="T495" s="201"/>
      <c r="U495" s="201"/>
      <c r="V495" s="201"/>
    </row>
    <row r="496" spans="1:67" ht="40.9" customHeight="1" x14ac:dyDescent="0.25">
      <c r="A496" s="324" t="s">
        <v>224</v>
      </c>
      <c r="B496" s="282" t="s">
        <v>200</v>
      </c>
      <c r="C496" s="192"/>
      <c r="D496" s="14" t="s">
        <v>4</v>
      </c>
      <c r="E496" s="15">
        <f>SUM(F496:BO496)</f>
        <v>4491914</v>
      </c>
      <c r="F496" s="19"/>
      <c r="G496" s="18">
        <f>SUM(G497:G500)</f>
        <v>0</v>
      </c>
      <c r="H496" s="18">
        <f t="shared" ref="H496:N496" si="174">SUM(H497:H500)</f>
        <v>0</v>
      </c>
      <c r="I496" s="18">
        <f t="shared" si="174"/>
        <v>0</v>
      </c>
      <c r="J496" s="18">
        <f t="shared" si="174"/>
        <v>0</v>
      </c>
      <c r="K496" s="18">
        <f t="shared" si="174"/>
        <v>0</v>
      </c>
      <c r="L496" s="18">
        <f t="shared" si="174"/>
        <v>0</v>
      </c>
      <c r="M496" s="18">
        <f t="shared" si="174"/>
        <v>0</v>
      </c>
      <c r="N496" s="18">
        <f t="shared" si="174"/>
        <v>0</v>
      </c>
      <c r="O496" s="18">
        <f>SUM(O497:O500)</f>
        <v>109417.2</v>
      </c>
      <c r="P496" s="18">
        <f>SUM(P497:P500)</f>
        <v>709102.20000000007</v>
      </c>
      <c r="Q496" s="15">
        <f>SUM(Q497:Q500)</f>
        <v>634172.1</v>
      </c>
      <c r="R496" s="15">
        <f>SUM(R497:R500)</f>
        <v>633862.70000000007</v>
      </c>
      <c r="S496" s="24"/>
      <c r="T496" s="40"/>
      <c r="U496" s="40"/>
      <c r="V496" s="40"/>
      <c r="W496" s="199"/>
      <c r="X496" s="199"/>
      <c r="Y496" s="200"/>
      <c r="Z496" s="200"/>
      <c r="AA496" s="200"/>
      <c r="AB496" s="200"/>
      <c r="AC496" s="200"/>
      <c r="AD496" s="200"/>
      <c r="AE496" s="200"/>
      <c r="AF496" s="200"/>
      <c r="AG496" s="200"/>
      <c r="AH496" s="200"/>
      <c r="AI496" s="200"/>
      <c r="AJ496" s="200"/>
      <c r="AK496" s="200"/>
      <c r="AL496" s="200"/>
      <c r="AM496" s="200"/>
      <c r="AN496" s="200"/>
      <c r="AO496" s="200"/>
      <c r="AP496" s="200"/>
      <c r="AQ496" s="200"/>
      <c r="AR496" s="200"/>
      <c r="AS496" s="200"/>
      <c r="AT496" s="200"/>
      <c r="AU496" s="200"/>
      <c r="AV496" s="200"/>
      <c r="AW496" s="200"/>
      <c r="AX496" s="200"/>
      <c r="AY496" s="200"/>
      <c r="AZ496" s="200"/>
      <c r="BA496" s="200"/>
      <c r="BB496" s="200"/>
      <c r="BC496" s="200"/>
      <c r="BD496" s="200"/>
      <c r="BE496" s="200"/>
      <c r="BF496" s="200"/>
      <c r="BG496" s="200"/>
      <c r="BH496" s="200"/>
      <c r="BI496" s="200"/>
      <c r="BJ496" s="200"/>
      <c r="BK496" s="200"/>
      <c r="BL496" s="40">
        <f>SUM(BL497:BL500)</f>
        <v>501916.20000000007</v>
      </c>
      <c r="BM496" s="40">
        <f>SUM(BM497:BM500)</f>
        <v>501915.4</v>
      </c>
      <c r="BN496" s="40">
        <f>SUM(BN497:BN500)</f>
        <v>501851.10000000003</v>
      </c>
      <c r="BO496" s="40">
        <f>SUM(BO497:BO500)</f>
        <v>899677.1</v>
      </c>
    </row>
    <row r="497" spans="1:67" ht="26.85" customHeight="1" x14ac:dyDescent="0.25">
      <c r="A497" s="337"/>
      <c r="B497" s="369"/>
      <c r="C497" s="192"/>
      <c r="D497" s="17" t="s">
        <v>17</v>
      </c>
      <c r="E497" s="18">
        <f>SUM(F497:BO497)</f>
        <v>1475717.2</v>
      </c>
      <c r="F497" s="19"/>
      <c r="G497" s="19">
        <v>0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  <c r="N497" s="19">
        <v>0</v>
      </c>
      <c r="O497" s="19">
        <v>105073.3</v>
      </c>
      <c r="P497" s="19">
        <v>680950.9</v>
      </c>
      <c r="Q497" s="16">
        <v>0</v>
      </c>
      <c r="R497" s="16">
        <v>0</v>
      </c>
      <c r="S497" s="19"/>
      <c r="T497" s="16"/>
      <c r="U497" s="16"/>
      <c r="V497" s="16"/>
      <c r="W497" s="93"/>
      <c r="X497" s="93"/>
      <c r="Y497" s="94"/>
      <c r="Z497" s="94"/>
      <c r="AA497" s="94"/>
      <c r="AB497" s="94"/>
      <c r="AC497" s="94"/>
      <c r="AD497" s="94"/>
      <c r="AE497" s="94"/>
      <c r="AF497" s="94"/>
      <c r="AG497" s="94"/>
      <c r="AH497" s="94"/>
      <c r="AI497" s="94"/>
      <c r="AJ497" s="94"/>
      <c r="AK497" s="94"/>
      <c r="AL497" s="94"/>
      <c r="AM497" s="94"/>
      <c r="AN497" s="94"/>
      <c r="AO497" s="94"/>
      <c r="AP497" s="94"/>
      <c r="AQ497" s="94"/>
      <c r="AR497" s="94"/>
      <c r="AS497" s="94"/>
      <c r="AT497" s="94"/>
      <c r="AU497" s="94"/>
      <c r="AV497" s="94"/>
      <c r="AW497" s="94"/>
      <c r="AX497" s="94"/>
      <c r="AY497" s="94"/>
      <c r="AZ497" s="94"/>
      <c r="BA497" s="94"/>
      <c r="BB497" s="94"/>
      <c r="BC497" s="94"/>
      <c r="BD497" s="94"/>
      <c r="BE497" s="94"/>
      <c r="BF497" s="94"/>
      <c r="BG497" s="94"/>
      <c r="BH497" s="94"/>
      <c r="BI497" s="94"/>
      <c r="BJ497" s="94"/>
      <c r="BK497" s="94"/>
      <c r="BL497" s="93">
        <v>172404.1</v>
      </c>
      <c r="BM497" s="93">
        <v>172399.5</v>
      </c>
      <c r="BN497" s="93">
        <v>172500.9</v>
      </c>
      <c r="BO497" s="93">
        <v>172388.5</v>
      </c>
    </row>
    <row r="498" spans="1:67" ht="29.1" customHeight="1" x14ac:dyDescent="0.25">
      <c r="A498" s="301"/>
      <c r="B498" s="369"/>
      <c r="C498" s="192"/>
      <c r="D498" s="17" t="s">
        <v>18</v>
      </c>
      <c r="E498" s="18">
        <f>SUM(F498:BO498)</f>
        <v>2734297</v>
      </c>
      <c r="F498" s="19"/>
      <c r="G498" s="19">
        <v>0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  <c r="N498" s="19">
        <v>0</v>
      </c>
      <c r="O498" s="19">
        <v>3249.7</v>
      </c>
      <c r="P498" s="19">
        <v>21060.3</v>
      </c>
      <c r="Q498" s="16">
        <v>592391.1</v>
      </c>
      <c r="R498" s="16">
        <v>590677.30000000005</v>
      </c>
      <c r="S498" s="19"/>
      <c r="T498" s="16"/>
      <c r="U498" s="16"/>
      <c r="V498" s="16"/>
      <c r="W498" s="93"/>
      <c r="X498" s="93"/>
      <c r="Y498" s="94"/>
      <c r="Z498" s="94"/>
      <c r="AA498" s="94"/>
      <c r="AB498" s="94"/>
      <c r="AC498" s="94"/>
      <c r="AD498" s="94"/>
      <c r="AE498" s="94"/>
      <c r="AF498" s="94"/>
      <c r="AG498" s="94"/>
      <c r="AH498" s="94"/>
      <c r="AI498" s="94"/>
      <c r="AJ498" s="94"/>
      <c r="AK498" s="94"/>
      <c r="AL498" s="94"/>
      <c r="AM498" s="94"/>
      <c r="AN498" s="94"/>
      <c r="AO498" s="94"/>
      <c r="AP498" s="94"/>
      <c r="AQ498" s="94"/>
      <c r="AR498" s="94"/>
      <c r="AS498" s="94"/>
      <c r="AT498" s="94"/>
      <c r="AU498" s="94"/>
      <c r="AV498" s="94"/>
      <c r="AW498" s="94"/>
      <c r="AX498" s="94"/>
      <c r="AY498" s="94"/>
      <c r="AZ498" s="94"/>
      <c r="BA498" s="94"/>
      <c r="BB498" s="94"/>
      <c r="BC498" s="94"/>
      <c r="BD498" s="94"/>
      <c r="BE498" s="94"/>
      <c r="BF498" s="94"/>
      <c r="BG498" s="94"/>
      <c r="BH498" s="94"/>
      <c r="BI498" s="94"/>
      <c r="BJ498" s="94"/>
      <c r="BK498" s="94"/>
      <c r="BL498" s="93">
        <v>286326.7</v>
      </c>
      <c r="BM498" s="93">
        <v>285376.90000000002</v>
      </c>
      <c r="BN498" s="93">
        <v>281273.40000000002</v>
      </c>
      <c r="BO498" s="93">
        <v>673941.6</v>
      </c>
    </row>
    <row r="499" spans="1:67" ht="30.75" customHeight="1" x14ac:dyDescent="0.25">
      <c r="A499" s="301"/>
      <c r="B499" s="369"/>
      <c r="C499" s="192"/>
      <c r="D499" s="17" t="s">
        <v>19</v>
      </c>
      <c r="E499" s="18">
        <f>SUM(F499:BO499)</f>
        <v>281899.8</v>
      </c>
      <c r="F499" s="19"/>
      <c r="G499" s="19"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  <c r="N499" s="19">
        <v>0</v>
      </c>
      <c r="O499" s="19">
        <v>1094.2</v>
      </c>
      <c r="P499" s="19">
        <v>7091</v>
      </c>
      <c r="Q499" s="19">
        <f>4650.4+37130.6</f>
        <v>41781</v>
      </c>
      <c r="R499" s="19">
        <v>43185.4</v>
      </c>
      <c r="S499" s="19"/>
      <c r="T499" s="16"/>
      <c r="U499" s="16"/>
      <c r="V499" s="16"/>
      <c r="W499" s="93"/>
      <c r="X499" s="93"/>
      <c r="Y499" s="94"/>
      <c r="Z499" s="94"/>
      <c r="AA499" s="94"/>
      <c r="AB499" s="94"/>
      <c r="AC499" s="94"/>
      <c r="AD499" s="94"/>
      <c r="AE499" s="94"/>
      <c r="AF499" s="94"/>
      <c r="AG499" s="94"/>
      <c r="AH499" s="94"/>
      <c r="AI499" s="94"/>
      <c r="AJ499" s="94"/>
      <c r="AK499" s="94"/>
      <c r="AL499" s="94"/>
      <c r="AM499" s="94"/>
      <c r="AN499" s="94"/>
      <c r="AO499" s="94"/>
      <c r="AP499" s="94"/>
      <c r="AQ499" s="94"/>
      <c r="AR499" s="94"/>
      <c r="AS499" s="94"/>
      <c r="AT499" s="94"/>
      <c r="AU499" s="94"/>
      <c r="AV499" s="94"/>
      <c r="AW499" s="94"/>
      <c r="AX499" s="94"/>
      <c r="AY499" s="94"/>
      <c r="AZ499" s="94"/>
      <c r="BA499" s="94"/>
      <c r="BB499" s="94"/>
      <c r="BC499" s="94"/>
      <c r="BD499" s="94"/>
      <c r="BE499" s="94"/>
      <c r="BF499" s="94"/>
      <c r="BG499" s="94"/>
      <c r="BH499" s="94"/>
      <c r="BI499" s="94"/>
      <c r="BJ499" s="94"/>
      <c r="BK499" s="94"/>
      <c r="BL499" s="93">
        <f>4633.6+38551.8</f>
        <v>43185.4</v>
      </c>
      <c r="BM499" s="93">
        <f>4624+39515</f>
        <v>44139</v>
      </c>
      <c r="BN499" s="93">
        <f>4583.6+43493.2</f>
        <v>48076.799999999996</v>
      </c>
      <c r="BO499" s="93">
        <f>8548.8+44798.2</f>
        <v>53347</v>
      </c>
    </row>
    <row r="500" spans="1:67" ht="40.9" customHeight="1" x14ac:dyDescent="0.25">
      <c r="A500" s="315"/>
      <c r="B500" s="379"/>
      <c r="C500" s="192"/>
      <c r="D500" s="17" t="s">
        <v>21</v>
      </c>
      <c r="E500" s="18">
        <f>SUM(F500:BO500)</f>
        <v>0</v>
      </c>
      <c r="F500" s="19"/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/>
      <c r="T500" s="16"/>
      <c r="U500" s="16"/>
      <c r="V500" s="16"/>
      <c r="W500" s="93"/>
      <c r="X500" s="93"/>
      <c r="Y500" s="94"/>
      <c r="Z500" s="94"/>
      <c r="AA500" s="94"/>
      <c r="AB500" s="94"/>
      <c r="AC500" s="94"/>
      <c r="AD500" s="94"/>
      <c r="AE500" s="94"/>
      <c r="AF500" s="94"/>
      <c r="AG500" s="94"/>
      <c r="AH500" s="94"/>
      <c r="AI500" s="94"/>
      <c r="AJ500" s="94"/>
      <c r="AK500" s="94"/>
      <c r="AL500" s="94"/>
      <c r="AM500" s="94"/>
      <c r="AN500" s="94"/>
      <c r="AO500" s="94"/>
      <c r="AP500" s="94"/>
      <c r="AQ500" s="94"/>
      <c r="AR500" s="94"/>
      <c r="AS500" s="94"/>
      <c r="AT500" s="94"/>
      <c r="AU500" s="94"/>
      <c r="AV500" s="94"/>
      <c r="AW500" s="94"/>
      <c r="AX500" s="94"/>
      <c r="AY500" s="94"/>
      <c r="AZ500" s="94"/>
      <c r="BA500" s="94"/>
      <c r="BB500" s="94"/>
      <c r="BC500" s="94"/>
      <c r="BD500" s="94"/>
      <c r="BE500" s="94"/>
      <c r="BF500" s="94"/>
      <c r="BG500" s="94"/>
      <c r="BH500" s="94"/>
      <c r="BI500" s="94"/>
      <c r="BJ500" s="94"/>
      <c r="BK500" s="94"/>
      <c r="BL500" s="16">
        <v>0</v>
      </c>
      <c r="BM500" s="16">
        <v>0</v>
      </c>
      <c r="BN500" s="16">
        <v>0</v>
      </c>
      <c r="BO500" s="16">
        <v>0</v>
      </c>
    </row>
    <row r="502" spans="1:67" ht="15.75" x14ac:dyDescent="0.25">
      <c r="A502" s="347" t="s">
        <v>1</v>
      </c>
      <c r="B502" s="349" t="s">
        <v>126</v>
      </c>
      <c r="C502" s="112"/>
      <c r="D502" s="349" t="s">
        <v>3</v>
      </c>
      <c r="E502" s="413" t="s">
        <v>226</v>
      </c>
      <c r="F502" s="110" t="s">
        <v>226</v>
      </c>
      <c r="G502" s="415" t="s">
        <v>227</v>
      </c>
      <c r="H502" s="415" t="s">
        <v>228</v>
      </c>
      <c r="I502" s="416"/>
    </row>
    <row r="503" spans="1:67" ht="56.25" customHeight="1" x14ac:dyDescent="0.25">
      <c r="A503" s="348"/>
      <c r="B503" s="350"/>
      <c r="C503" s="112"/>
      <c r="D503" s="350"/>
      <c r="E503" s="414"/>
      <c r="F503" s="95"/>
      <c r="G503" s="415"/>
      <c r="H503" s="415"/>
      <c r="I503" s="416"/>
    </row>
    <row r="504" spans="1:67" ht="17.649999999999999" customHeight="1" x14ac:dyDescent="0.25">
      <c r="A504" s="92"/>
      <c r="B504" s="9"/>
      <c r="C504" s="112"/>
      <c r="D504" s="9"/>
      <c r="E504" s="110" t="s">
        <v>230</v>
      </c>
      <c r="F504" s="110" t="s">
        <v>230</v>
      </c>
      <c r="G504" s="110" t="s">
        <v>231</v>
      </c>
      <c r="H504" s="110" t="s">
        <v>232</v>
      </c>
      <c r="I504" s="111"/>
    </row>
    <row r="505" spans="1:67" ht="22.9" customHeight="1" x14ac:dyDescent="0.25">
      <c r="A505" s="324" t="s">
        <v>224</v>
      </c>
      <c r="B505" s="282" t="s">
        <v>200</v>
      </c>
      <c r="C505" s="104"/>
      <c r="D505" s="14" t="s">
        <v>4</v>
      </c>
      <c r="E505" s="15">
        <f>SUM(E506:E509)</f>
        <v>501915.4</v>
      </c>
      <c r="F505" s="15">
        <f>SUM(F506:F509)</f>
        <v>501915.4</v>
      </c>
      <c r="G505" s="15">
        <f>SUM(G506:G509)</f>
        <v>501851.10000000003</v>
      </c>
      <c r="H505" s="15">
        <f>SUM(H506:H509)</f>
        <v>899677.1</v>
      </c>
      <c r="I505" s="83"/>
    </row>
    <row r="506" spans="1:67" ht="22.9" customHeight="1" x14ac:dyDescent="0.25">
      <c r="A506" s="337"/>
      <c r="B506" s="369"/>
      <c r="C506" s="104"/>
      <c r="D506" s="17" t="s">
        <v>17</v>
      </c>
      <c r="E506" s="93">
        <v>172399.5</v>
      </c>
      <c r="F506" s="93">
        <v>172399.5</v>
      </c>
      <c r="G506" s="93">
        <v>172500.9</v>
      </c>
      <c r="H506" s="93">
        <v>172388.5</v>
      </c>
      <c r="I506" s="100"/>
    </row>
    <row r="507" spans="1:67" ht="20.25" customHeight="1" x14ac:dyDescent="0.25">
      <c r="A507" s="301"/>
      <c r="B507" s="369"/>
      <c r="C507" s="104"/>
      <c r="D507" s="17" t="s">
        <v>18</v>
      </c>
      <c r="E507" s="93">
        <v>285376.90000000002</v>
      </c>
      <c r="F507" s="93">
        <v>285376.90000000002</v>
      </c>
      <c r="G507" s="93">
        <v>281273.40000000002</v>
      </c>
      <c r="H507" s="93">
        <v>673941.6</v>
      </c>
      <c r="I507" s="100"/>
    </row>
    <row r="508" spans="1:67" ht="20.25" customHeight="1" x14ac:dyDescent="0.25">
      <c r="A508" s="301"/>
      <c r="B508" s="369"/>
      <c r="C508" s="104"/>
      <c r="D508" s="17" t="s">
        <v>19</v>
      </c>
      <c r="E508" s="93">
        <f>4624+39515</f>
        <v>44139</v>
      </c>
      <c r="F508" s="93">
        <f>4624+39515</f>
        <v>44139</v>
      </c>
      <c r="G508" s="93">
        <f>4583.6+43493.2</f>
        <v>48076.799999999996</v>
      </c>
      <c r="H508" s="93">
        <f>8548.8+44798.2</f>
        <v>53347</v>
      </c>
      <c r="I508" s="100"/>
    </row>
    <row r="509" spans="1:67" ht="33.4" customHeight="1" x14ac:dyDescent="0.25">
      <c r="A509" s="315"/>
      <c r="B509" s="379"/>
      <c r="C509" s="104"/>
      <c r="D509" s="17" t="s">
        <v>21</v>
      </c>
      <c r="E509" s="16">
        <v>0</v>
      </c>
      <c r="F509" s="16">
        <v>0</v>
      </c>
      <c r="G509" s="16">
        <v>0</v>
      </c>
      <c r="H509" s="16">
        <v>0</v>
      </c>
      <c r="I509" s="82"/>
    </row>
  </sheetData>
  <mergeCells count="202">
    <mergeCell ref="C380:C384"/>
    <mergeCell ref="C385:C389"/>
    <mergeCell ref="A492:Q492"/>
    <mergeCell ref="A79:A82"/>
    <mergeCell ref="A505:A509"/>
    <mergeCell ref="B505:B509"/>
    <mergeCell ref="E502:E503"/>
    <mergeCell ref="G502:G503"/>
    <mergeCell ref="H502:H503"/>
    <mergeCell ref="I502:I503"/>
    <mergeCell ref="A449:A452"/>
    <mergeCell ref="B449:B452"/>
    <mergeCell ref="C449:C454"/>
    <mergeCell ref="B455:B458"/>
    <mergeCell ref="C455:C459"/>
    <mergeCell ref="A493:A494"/>
    <mergeCell ref="B493:B494"/>
    <mergeCell ref="D493:D494"/>
    <mergeCell ref="E493:BO493"/>
    <mergeCell ref="A496:A500"/>
    <mergeCell ref="B496:B500"/>
    <mergeCell ref="A502:A503"/>
    <mergeCell ref="B502:B503"/>
    <mergeCell ref="D502:D503"/>
    <mergeCell ref="B415:B418"/>
    <mergeCell ref="A490:Q490"/>
    <mergeCell ref="A491:Q491"/>
    <mergeCell ref="C472:C476"/>
    <mergeCell ref="B477:B481"/>
    <mergeCell ref="C477:C481"/>
    <mergeCell ref="B482:B486"/>
    <mergeCell ref="C482:C486"/>
    <mergeCell ref="A489:Q489"/>
    <mergeCell ref="A461:A466"/>
    <mergeCell ref="B461:B466"/>
    <mergeCell ref="A467:A470"/>
    <mergeCell ref="B467:B470"/>
    <mergeCell ref="A472:A476"/>
    <mergeCell ref="B472:B473"/>
    <mergeCell ref="B442:B444"/>
    <mergeCell ref="C442:C447"/>
    <mergeCell ref="A420:A423"/>
    <mergeCell ref="B420:B423"/>
    <mergeCell ref="A425:A429"/>
    <mergeCell ref="B425:B429"/>
    <mergeCell ref="B385:B388"/>
    <mergeCell ref="B335:B337"/>
    <mergeCell ref="B375:B378"/>
    <mergeCell ref="B360:B364"/>
    <mergeCell ref="C430:C435"/>
    <mergeCell ref="A345:A349"/>
    <mergeCell ref="B345:B349"/>
    <mergeCell ref="A405:A409"/>
    <mergeCell ref="B405:B409"/>
    <mergeCell ref="C405:C409"/>
    <mergeCell ref="C415:C419"/>
    <mergeCell ref="A417:A418"/>
    <mergeCell ref="A390:A394"/>
    <mergeCell ref="B390:B394"/>
    <mergeCell ref="C395:C399"/>
    <mergeCell ref="B400:B404"/>
    <mergeCell ref="C400:C404"/>
    <mergeCell ref="C375:C379"/>
    <mergeCell ref="B380:B383"/>
    <mergeCell ref="C360:C364"/>
    <mergeCell ref="C370:C374"/>
    <mergeCell ref="C425:C429"/>
    <mergeCell ref="B430:B433"/>
    <mergeCell ref="A355:A359"/>
    <mergeCell ref="A301:A305"/>
    <mergeCell ref="B301:B305"/>
    <mergeCell ref="A306:A308"/>
    <mergeCell ref="B306:B308"/>
    <mergeCell ref="A311:A312"/>
    <mergeCell ref="A365:A367"/>
    <mergeCell ref="B365:B367"/>
    <mergeCell ref="B370:B374"/>
    <mergeCell ref="A281:A285"/>
    <mergeCell ref="B281:B284"/>
    <mergeCell ref="A286:A290"/>
    <mergeCell ref="B286:B289"/>
    <mergeCell ref="B311:B313"/>
    <mergeCell ref="A291:A295"/>
    <mergeCell ref="B291:B294"/>
    <mergeCell ref="A323:A324"/>
    <mergeCell ref="B323:B324"/>
    <mergeCell ref="A330:A331"/>
    <mergeCell ref="B330:B331"/>
    <mergeCell ref="B340:B342"/>
    <mergeCell ref="A335:A336"/>
    <mergeCell ref="B350:B352"/>
    <mergeCell ref="B355:B359"/>
    <mergeCell ref="B296:B298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B256:B259"/>
    <mergeCell ref="B261:B262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230:B232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40:B142"/>
    <mergeCell ref="A115:A119"/>
    <mergeCell ref="B115:B119"/>
    <mergeCell ref="A120:A124"/>
    <mergeCell ref="B120:B124"/>
    <mergeCell ref="A125:A126"/>
    <mergeCell ref="B125:B129"/>
    <mergeCell ref="B145:B147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B8:H8"/>
    <mergeCell ref="A9:A10"/>
    <mergeCell ref="B9:B10"/>
    <mergeCell ref="C9:C10"/>
    <mergeCell ref="D9:D10"/>
    <mergeCell ref="B43:B47"/>
    <mergeCell ref="C43:C47"/>
    <mergeCell ref="A63:A67"/>
    <mergeCell ref="B63:B67"/>
    <mergeCell ref="C63:C67"/>
    <mergeCell ref="C48:C52"/>
    <mergeCell ref="A53:A57"/>
    <mergeCell ref="A58:A62"/>
    <mergeCell ref="B48:B51"/>
    <mergeCell ref="B395:B397"/>
    <mergeCell ref="B94:B98"/>
    <mergeCell ref="B53:B57"/>
    <mergeCell ref="C53:C57"/>
    <mergeCell ref="C23:C31"/>
    <mergeCell ref="E9:R9"/>
    <mergeCell ref="B58:B62"/>
    <mergeCell ref="C58:C62"/>
    <mergeCell ref="A495:Q495"/>
    <mergeCell ref="B165:B169"/>
    <mergeCell ref="B170:B174"/>
    <mergeCell ref="C68:C73"/>
    <mergeCell ref="A74:A77"/>
    <mergeCell ref="B74:B77"/>
    <mergeCell ref="B68:B70"/>
    <mergeCell ref="B79:B81"/>
    <mergeCell ref="C79:C83"/>
    <mergeCell ref="B84:B88"/>
    <mergeCell ref="C84:C88"/>
    <mergeCell ref="B89:B93"/>
    <mergeCell ref="C89:C93"/>
    <mergeCell ref="B155:B159"/>
    <mergeCell ref="B160:B164"/>
    <mergeCell ref="A43:A47"/>
  </mergeCells>
  <pageMargins left="0.51181102362204722" right="0.31496062992125984" top="0.35433070866141736" bottom="0.39370078740157483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 3</vt:lpstr>
      <vt:lpstr>'приложение № 3'!OLE_LINK1</vt:lpstr>
      <vt:lpstr>'приложение № 3'!Заголовки_для_печати</vt:lpstr>
      <vt:lpstr>'приложение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2024-06-21T06:31:23Z</cp:lastPrinted>
  <dcterms:created xsi:type="dcterms:W3CDTF">2018-03-29T02:25:17Z</dcterms:created>
  <dcterms:modified xsi:type="dcterms:W3CDTF">2024-07-10T01:37:33Z</dcterms:modified>
</cp:coreProperties>
</file>